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0185" windowHeight="13035" activeTab="0"/>
  </bookViews>
  <sheets>
    <sheet name="Figure" sheetId="1" r:id="rId1"/>
    <sheet name="Computation" sheetId="2" r:id="rId2"/>
  </sheets>
  <definedNames>
    <definedName name="deg">'Computation'!$K$12</definedName>
    <definedName name="deg2">'Computation'!#REF!</definedName>
    <definedName name="ka">'Computation'!#REF!</definedName>
    <definedName name="ra">'Computation'!$H$3</definedName>
    <definedName name="u">'Computation'!$H$4</definedName>
    <definedName name="uday">'Computation'!$H$5</definedName>
    <definedName name="w">'Computation'!$H$6</definedName>
  </definedNames>
  <calcPr fullCalcOnLoad="1"/>
</workbook>
</file>

<file path=xl/sharedStrings.xml><?xml version="1.0" encoding="utf-8"?>
<sst xmlns="http://schemas.openxmlformats.org/spreadsheetml/2006/main" count="250" uniqueCount="101">
  <si>
    <t>Central Body Parameters</t>
  </si>
  <si>
    <t>Constants and Conversion Factors</t>
  </si>
  <si>
    <t>Central Body</t>
  </si>
  <si>
    <t>Earth</t>
  </si>
  <si>
    <t>Mercury</t>
  </si>
  <si>
    <t>Venus</t>
  </si>
  <si>
    <t>Moon</t>
  </si>
  <si>
    <t>Mars</t>
  </si>
  <si>
    <t>Jupiter</t>
  </si>
  <si>
    <t>Saturn</t>
  </si>
  <si>
    <t>Uranus</t>
  </si>
  <si>
    <t>Neptune</t>
  </si>
  <si>
    <t>Pluto</t>
  </si>
  <si>
    <t>Units</t>
  </si>
  <si>
    <t>Radian</t>
  </si>
  <si>
    <t>deg</t>
  </si>
  <si>
    <t>Year</t>
  </si>
  <si>
    <t>min</t>
  </si>
  <si>
    <t>Radius</t>
  </si>
  <si>
    <t>km</t>
  </si>
  <si>
    <r>
      <t>μ</t>
    </r>
    <r>
      <rPr>
        <b/>
        <vertAlign val="subscript"/>
        <sz val="10"/>
        <rFont val="Geneva"/>
        <family val="0"/>
      </rPr>
      <t>sun</t>
    </r>
  </si>
  <si>
    <r>
      <t>km</t>
    </r>
    <r>
      <rPr>
        <vertAlign val="superscript"/>
        <sz val="10"/>
        <rFont val="Geneva"/>
        <family val="0"/>
      </rPr>
      <t>3</t>
    </r>
    <r>
      <rPr>
        <sz val="10"/>
        <rFont val="Geneva"/>
        <family val="0"/>
      </rPr>
      <t>/s</t>
    </r>
    <r>
      <rPr>
        <vertAlign val="superscript"/>
        <sz val="10"/>
        <rFont val="Geneva"/>
        <family val="0"/>
      </rPr>
      <t>2</t>
    </r>
  </si>
  <si>
    <r>
      <t>μ (km</t>
    </r>
    <r>
      <rPr>
        <b/>
        <vertAlign val="superscript"/>
        <sz val="10"/>
        <rFont val="Geneva"/>
        <family val="0"/>
      </rPr>
      <t>3</t>
    </r>
    <r>
      <rPr>
        <b/>
        <sz val="10"/>
        <rFont val="Geneva"/>
        <family val="0"/>
      </rPr>
      <t>/s</t>
    </r>
    <r>
      <rPr>
        <b/>
        <vertAlign val="superscript"/>
        <sz val="10"/>
        <rFont val="Geneva"/>
        <family val="0"/>
      </rPr>
      <t>2</t>
    </r>
    <r>
      <rPr>
        <b/>
        <sz val="10"/>
        <rFont val="Geneva"/>
        <family val="0"/>
      </rPr>
      <t>)</t>
    </r>
  </si>
  <si>
    <t>User inputs in Orange</t>
  </si>
  <si>
    <r>
      <t>μ (km</t>
    </r>
    <r>
      <rPr>
        <b/>
        <vertAlign val="superscript"/>
        <sz val="10"/>
        <rFont val="Geneva"/>
        <family val="0"/>
      </rPr>
      <t>3</t>
    </r>
    <r>
      <rPr>
        <b/>
        <sz val="10"/>
        <rFont val="Geneva"/>
        <family val="0"/>
      </rPr>
      <t>/day</t>
    </r>
    <r>
      <rPr>
        <b/>
        <vertAlign val="superscript"/>
        <sz val="10"/>
        <rFont val="Geneva"/>
        <family val="0"/>
      </rPr>
      <t>2</t>
    </r>
    <r>
      <rPr>
        <b/>
        <sz val="10"/>
        <rFont val="Geneva"/>
        <family val="0"/>
      </rPr>
      <t>)</t>
    </r>
  </si>
  <si>
    <r>
      <t>km</t>
    </r>
    <r>
      <rPr>
        <vertAlign val="superscript"/>
        <sz val="10"/>
        <rFont val="Geneva"/>
        <family val="0"/>
      </rPr>
      <t>3</t>
    </r>
    <r>
      <rPr>
        <sz val="10"/>
        <rFont val="Geneva"/>
        <family val="0"/>
      </rPr>
      <t>/day</t>
    </r>
    <r>
      <rPr>
        <vertAlign val="superscript"/>
        <sz val="10"/>
        <rFont val="Geneva"/>
        <family val="0"/>
      </rPr>
      <t>2</t>
    </r>
  </si>
  <si>
    <t>Ang. Vel. on axis</t>
  </si>
  <si>
    <t>deg/min</t>
  </si>
  <si>
    <t>J2</t>
  </si>
  <si>
    <r>
      <t>K</t>
    </r>
    <r>
      <rPr>
        <b/>
        <vertAlign val="subscript"/>
        <sz val="10"/>
        <rFont val="Geneva"/>
        <family val="0"/>
      </rPr>
      <t>J2</t>
    </r>
  </si>
  <si>
    <r>
      <t>km</t>
    </r>
    <r>
      <rPr>
        <vertAlign val="superscript"/>
        <sz val="10"/>
        <rFont val="Geneva"/>
        <family val="0"/>
      </rPr>
      <t>7/2</t>
    </r>
    <r>
      <rPr>
        <sz val="10"/>
        <rFont val="Geneva"/>
        <family val="0"/>
      </rPr>
      <t xml:space="preserve"> deg day</t>
    </r>
    <r>
      <rPr>
        <vertAlign val="superscript"/>
        <sz val="10"/>
        <rFont val="Geneva"/>
        <family val="0"/>
      </rPr>
      <t>-1</t>
    </r>
    <r>
      <rPr>
        <sz val="10"/>
        <rFont val="Geneva"/>
        <family val="0"/>
      </rPr>
      <t xml:space="preserve"> rad</t>
    </r>
    <r>
      <rPr>
        <vertAlign val="superscript"/>
        <sz val="10"/>
        <rFont val="Geneva"/>
        <family val="0"/>
      </rPr>
      <t>-1</t>
    </r>
  </si>
  <si>
    <t>Sideral Day</t>
  </si>
  <si>
    <t>Earth angular radius (ρ)</t>
  </si>
  <si>
    <t>Max distance (Dmax)</t>
  </si>
  <si>
    <t>Min Earth central angle (λmin)</t>
  </si>
  <si>
    <t>Max nadir angle (ηmax)</t>
  </si>
  <si>
    <t>Max Earth central angle (λmax)</t>
  </si>
  <si>
    <t>Min nadir angle (ηmin)</t>
  </si>
  <si>
    <t>Max elevation angle (εmax)</t>
  </si>
  <si>
    <t>Min distance (Dmin)</t>
  </si>
  <si>
    <t>Max angular rate (θdotmax)</t>
  </si>
  <si>
    <t>Azimuth range (ΔΦ)</t>
  </si>
  <si>
    <t>Azimuth of center of pass (Φcenter)</t>
  </si>
  <si>
    <t>Time in view (T)</t>
  </si>
  <si>
    <t>Period, (P)</t>
  </si>
  <si>
    <t>Input Parameters</t>
  </si>
  <si>
    <t>deg N</t>
  </si>
  <si>
    <t>deg E</t>
  </si>
  <si>
    <t>Rotating Earth</t>
  </si>
  <si>
    <t>Non-Rotating Earth</t>
  </si>
  <si>
    <t>(deg)</t>
  </si>
  <si>
    <t>(min)</t>
  </si>
  <si>
    <t>(km)</t>
  </si>
  <si>
    <t>(deg/min)</t>
  </si>
  <si>
    <t>Pass</t>
  </si>
  <si>
    <t>Orbit</t>
  </si>
  <si>
    <t>Blip</t>
  </si>
  <si>
    <t>Time (min)</t>
  </si>
  <si>
    <t>Period (min)</t>
  </si>
  <si>
    <t>Earth Angular Radius (deg)</t>
  </si>
  <si>
    <t>Max Nadir Angle (deg)</t>
  </si>
  <si>
    <t>Max Earth Central Angle (deg)</t>
  </si>
  <si>
    <t>Starting Minutes (min)</t>
  </si>
  <si>
    <t>Longitude of Orbit Pole (deg)</t>
  </si>
  <si>
    <t>Time in View of "Rotating Planet" (min)</t>
  </si>
  <si>
    <t xml:space="preserve">(input parameter and central body parameter tables implemented by Becky Christofferson, Microcosm)  </t>
  </si>
  <si>
    <t>Altitude (h)</t>
  </si>
  <si>
    <t>Inclination (i)</t>
  </si>
  <si>
    <t>Minimum Elevation Angle (ε)</t>
  </si>
  <si>
    <r>
      <t>Orbit Pole Latitude (δ</t>
    </r>
    <r>
      <rPr>
        <b/>
        <vertAlign val="subscript"/>
        <sz val="10"/>
        <rFont val="Geneva"/>
        <family val="0"/>
      </rPr>
      <t>OP</t>
    </r>
    <r>
      <rPr>
        <b/>
        <sz val="10"/>
        <rFont val="Geneva"/>
        <family val="0"/>
      </rPr>
      <t>)</t>
    </r>
  </si>
  <si>
    <r>
      <t>Orbit Pole Longitude (α</t>
    </r>
    <r>
      <rPr>
        <b/>
        <vertAlign val="subscript"/>
        <sz val="10"/>
        <rFont val="Geneva"/>
        <family val="0"/>
      </rPr>
      <t>OP</t>
    </r>
    <r>
      <rPr>
        <b/>
        <sz val="10"/>
        <rFont val="Geneva"/>
        <family val="0"/>
      </rPr>
      <t>)</t>
    </r>
  </si>
  <si>
    <r>
      <t>Ground Station Latitude (δ</t>
    </r>
    <r>
      <rPr>
        <b/>
        <vertAlign val="subscript"/>
        <sz val="10"/>
        <rFont val="Geneva"/>
        <family val="0"/>
      </rPr>
      <t>GS</t>
    </r>
    <r>
      <rPr>
        <b/>
        <sz val="10"/>
        <rFont val="Geneva"/>
        <family val="0"/>
      </rPr>
      <t>)</t>
    </r>
  </si>
  <si>
    <r>
      <t>Ground Station Longitude (α</t>
    </r>
    <r>
      <rPr>
        <b/>
        <vertAlign val="subscript"/>
        <sz val="10"/>
        <rFont val="Geneva"/>
        <family val="0"/>
      </rPr>
      <t>GS</t>
    </r>
    <r>
      <rPr>
        <b/>
        <sz val="10"/>
        <rFont val="Geneva"/>
        <family val="0"/>
      </rPr>
      <t>)</t>
    </r>
  </si>
  <si>
    <t>Blip Height</t>
  </si>
  <si>
    <r>
      <t>SSP Latitude (δ</t>
    </r>
    <r>
      <rPr>
        <b/>
        <vertAlign val="subscript"/>
        <sz val="10"/>
        <rFont val="Geneva"/>
        <family val="0"/>
      </rPr>
      <t>SSP</t>
    </r>
    <r>
      <rPr>
        <b/>
        <sz val="10"/>
        <rFont val="Geneva"/>
        <family val="0"/>
      </rPr>
      <t>)</t>
    </r>
  </si>
  <si>
    <r>
      <t>SSP Longitude (α</t>
    </r>
    <r>
      <rPr>
        <b/>
        <vertAlign val="subscript"/>
        <sz val="10"/>
        <rFont val="Geneva"/>
        <family val="0"/>
      </rPr>
      <t xml:space="preserve"> SSP</t>
    </r>
    <r>
      <rPr>
        <b/>
        <sz val="10"/>
        <rFont val="Geneva"/>
        <family val="0"/>
      </rPr>
      <t>)</t>
    </r>
  </si>
  <si>
    <t>Mean motion (n)</t>
  </si>
  <si>
    <r>
      <t>Planet rotation about orbit plane (w</t>
    </r>
    <r>
      <rPr>
        <b/>
        <vertAlign val="subscript"/>
        <sz val="10"/>
        <rFont val="Arial"/>
        <family val="2"/>
      </rPr>
      <t>r</t>
    </r>
    <r>
      <rPr>
        <b/>
        <sz val="10"/>
        <rFont val="Arial"/>
        <family val="2"/>
      </rPr>
      <t>)</t>
    </r>
  </si>
  <si>
    <r>
      <t>Euler Axis Latitude (δ</t>
    </r>
    <r>
      <rPr>
        <b/>
        <vertAlign val="subscript"/>
        <sz val="10"/>
        <rFont val="Geneva"/>
        <family val="0"/>
      </rPr>
      <t>E)</t>
    </r>
  </si>
  <si>
    <r>
      <t>Euler Axis Longitude (α</t>
    </r>
    <r>
      <rPr>
        <b/>
        <vertAlign val="subscript"/>
        <sz val="10"/>
        <rFont val="Arial"/>
        <family val="2"/>
      </rPr>
      <t>E</t>
    </r>
    <r>
      <rPr>
        <b/>
        <sz val="10"/>
        <rFont val="Arial"/>
        <family val="2"/>
      </rPr>
      <t>)</t>
    </r>
  </si>
  <si>
    <r>
      <t>Rotation about Euler Axis (ω</t>
    </r>
    <r>
      <rPr>
        <b/>
        <vertAlign val="subscript"/>
        <sz val="10"/>
        <rFont val="Geneva"/>
        <family val="0"/>
      </rPr>
      <t>E</t>
    </r>
    <r>
      <rPr>
        <b/>
        <sz val="10"/>
        <rFont val="Geneva"/>
        <family val="0"/>
      </rPr>
      <t>)</t>
    </r>
  </si>
  <si>
    <r>
      <t>Euler Axis to SSP arc (ρ</t>
    </r>
    <r>
      <rPr>
        <b/>
        <vertAlign val="subscript"/>
        <sz val="10"/>
        <rFont val="Geneva"/>
        <family val="0"/>
      </rPr>
      <t>s</t>
    </r>
    <r>
      <rPr>
        <b/>
        <sz val="10"/>
        <rFont val="Geneva"/>
        <family val="0"/>
      </rPr>
      <t>)</t>
    </r>
  </si>
  <si>
    <t>Euler Axis to Ground Station arc (γ)</t>
  </si>
  <si>
    <t>Arc movement about Euler Axis (W)</t>
  </si>
  <si>
    <t>Derived from Table 9-4 Summary of Computations for Ground Station Passes for LEO Circular Orbits</t>
  </si>
  <si>
    <t>deg Access</t>
  </si>
  <si>
    <t>Ground Station Latitude (deg) =</t>
  </si>
  <si>
    <t>Step Size *</t>
  </si>
  <si>
    <t>Initial Access Latitude *</t>
  </si>
  <si>
    <t>* You may need to rescale the y-axis in order to display the histograms appropriately, depending on your input parameters.</t>
  </si>
  <si>
    <t>Figure 10-7. Coverage over a Day for Various Latitudes.</t>
  </si>
  <si>
    <r>
      <t>Altitude (</t>
    </r>
    <r>
      <rPr>
        <b/>
        <i/>
        <sz val="10"/>
        <rFont val="Geneva"/>
        <family val="0"/>
      </rPr>
      <t>h</t>
    </r>
    <r>
      <rPr>
        <b/>
        <sz val="10"/>
        <rFont val="Geneva"/>
        <family val="0"/>
      </rPr>
      <t>)</t>
    </r>
  </si>
  <si>
    <r>
      <t>Inclination (</t>
    </r>
    <r>
      <rPr>
        <b/>
        <i/>
        <sz val="10"/>
        <rFont val="Geneva"/>
        <family val="0"/>
      </rPr>
      <t>i</t>
    </r>
    <r>
      <rPr>
        <b/>
        <sz val="10"/>
        <rFont val="Geneva"/>
        <family val="0"/>
      </rPr>
      <t>)</t>
    </r>
  </si>
  <si>
    <r>
      <t>Minimum Elevation Angle (</t>
    </r>
    <r>
      <rPr>
        <b/>
        <i/>
        <sz val="10"/>
        <rFont val="Arial"/>
        <family val="2"/>
      </rPr>
      <t>ε</t>
    </r>
    <r>
      <rPr>
        <b/>
        <sz val="10"/>
        <rFont val="Arial"/>
        <family val="0"/>
      </rPr>
      <t>)</t>
    </r>
  </si>
  <si>
    <r>
      <t>Orbit Pole Longitude (</t>
    </r>
    <r>
      <rPr>
        <b/>
        <i/>
        <sz val="10"/>
        <rFont val="Geneva"/>
        <family val="0"/>
      </rPr>
      <t>α</t>
    </r>
    <r>
      <rPr>
        <b/>
        <i/>
        <vertAlign val="subscript"/>
        <sz val="10"/>
        <rFont val="Geneva"/>
        <family val="0"/>
      </rPr>
      <t>OP</t>
    </r>
    <r>
      <rPr>
        <b/>
        <sz val="10"/>
        <rFont val="Geneva"/>
        <family val="0"/>
      </rPr>
      <t>)</t>
    </r>
  </si>
  <si>
    <r>
      <t>Ground Station Longitude (</t>
    </r>
    <r>
      <rPr>
        <b/>
        <i/>
        <sz val="10"/>
        <rFont val="Geneva"/>
        <family val="0"/>
      </rPr>
      <t>α</t>
    </r>
    <r>
      <rPr>
        <b/>
        <i/>
        <vertAlign val="subscript"/>
        <sz val="10"/>
        <rFont val="Geneva"/>
        <family val="0"/>
      </rPr>
      <t>GS</t>
    </r>
    <r>
      <rPr>
        <b/>
        <sz val="10"/>
        <rFont val="Geneva"/>
        <family val="0"/>
      </rPr>
      <t>)</t>
    </r>
  </si>
  <si>
    <t>Version 1. May 10, 2010. copyright, 2010, Microcosm, Inc.</t>
  </si>
  <si>
    <t>Implemented by Kyungmo Koo, Microcosm. Contact: bookproject@smad.com</t>
  </si>
  <si>
    <t>See text for explanation.</t>
  </si>
  <si>
    <t>Copy the desired central body parameters from column K-T and paste into column J (in rows 2-9)</t>
  </si>
  <si>
    <t>Value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</si>
</sst>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00"/>
    <numFmt numFmtId="167" formatCode="0.0"/>
    <numFmt numFmtId="168" formatCode="0.00000"/>
    <numFmt numFmtId="169" formatCode="0.0000000"/>
    <numFmt numFmtId="170" formatCode="h:mm:ss;@"/>
    <numFmt numFmtId="171" formatCode="#,##0.0"/>
  </numFmts>
  <fonts count="37">
    <font>
      <sz val="10"/>
      <name val="Arial"/>
      <family val="0"/>
    </font>
    <font>
      <b/>
      <sz val="10"/>
      <name val="Geneva"/>
      <family val="0"/>
    </font>
    <font>
      <sz val="10"/>
      <name val="Geneva"/>
      <family val="0"/>
    </font>
    <font>
      <b/>
      <vertAlign val="subscript"/>
      <sz val="10"/>
      <name val="Geneva"/>
      <family val="0"/>
    </font>
    <font>
      <vertAlign val="superscript"/>
      <sz val="10"/>
      <name val="Geneva"/>
      <family val="0"/>
    </font>
    <font>
      <b/>
      <i/>
      <sz val="10"/>
      <name val="Geneva"/>
      <family val="0"/>
    </font>
    <font>
      <b/>
      <vertAlign val="superscript"/>
      <sz val="10"/>
      <name val="Geneva"/>
      <family val="0"/>
    </font>
    <font>
      <b/>
      <sz val="10"/>
      <color indexed="10"/>
      <name val="Geneva"/>
      <family val="0"/>
    </font>
    <font>
      <b/>
      <sz val="10"/>
      <name val="Arial"/>
      <family val="2"/>
    </font>
    <font>
      <sz val="8"/>
      <name val="Arial"/>
      <family val="0"/>
    </font>
    <font>
      <sz val="10"/>
      <color indexed="10"/>
      <name val="Arial"/>
      <family val="0"/>
    </font>
    <font>
      <b/>
      <vertAlign val="subscript"/>
      <sz val="10"/>
      <name val="Arial"/>
      <family val="2"/>
    </font>
    <font>
      <b/>
      <sz val="9"/>
      <name val="Geneva"/>
      <family val="0"/>
    </font>
    <font>
      <sz val="15.5"/>
      <color indexed="8"/>
      <name val="Arial"/>
      <family val="0"/>
    </font>
    <font>
      <sz val="15.75"/>
      <color indexed="5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b/>
      <sz val="15.75"/>
      <color indexed="56"/>
      <name val="Arial"/>
      <family val="0"/>
    </font>
    <font>
      <b/>
      <sz val="14"/>
      <color indexed="56"/>
      <name val="Arial"/>
      <family val="0"/>
    </font>
    <font>
      <b/>
      <i/>
      <sz val="10"/>
      <name val="Arial"/>
      <family val="2"/>
    </font>
    <font>
      <b/>
      <i/>
      <vertAlign val="subscript"/>
      <sz val="10"/>
      <name val="Geneva"/>
      <family val="0"/>
    </font>
    <font>
      <i/>
      <sz val="10"/>
      <name val="Genev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color indexed="63"/>
      </top>
      <bottom>
        <color indexed="63"/>
      </botto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3" borderId="0" applyNumberFormat="0" applyBorder="0" applyAlignment="0" applyProtection="0"/>
    <xf numFmtId="0" fontId="0" fillId="21" borderId="2" applyNumberFormat="0" applyFont="0" applyAlignment="0" applyProtection="0"/>
    <xf numFmtId="0" fontId="20" fillId="22" borderId="0" applyNumberFormat="0" applyBorder="0" applyAlignment="0" applyProtection="0"/>
    <xf numFmtId="0" fontId="21" fillId="0" borderId="0" applyNumberFormat="0" applyFill="0" applyBorder="0" applyAlignment="0" applyProtection="0"/>
    <xf numFmtId="0" fontId="22" fillId="23" borderId="3" applyNumberFormat="0" applyAlignment="0" applyProtection="0"/>
    <xf numFmtId="0" fontId="23" fillId="0" borderId="4" applyNumberFormat="0" applyFill="0" applyAlignment="0" applyProtection="0"/>
    <xf numFmtId="0" fontId="24" fillId="0" borderId="5" applyNumberFormat="0" applyFill="0" applyAlignment="0" applyProtection="0"/>
    <xf numFmtId="0" fontId="25" fillId="7" borderId="1" applyNumberFormat="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20" borderId="9" applyNumberFormat="0" applyAlignment="0" applyProtection="0"/>
  </cellStyleXfs>
  <cellXfs count="294">
    <xf numFmtId="0" fontId="0" fillId="0" borderId="0" xfId="0" applyAlignment="1">
      <alignment/>
    </xf>
    <xf numFmtId="0" fontId="1" fillId="0" borderId="0" xfId="0" applyFont="1" applyAlignment="1">
      <alignment/>
    </xf>
    <xf numFmtId="0" fontId="2" fillId="0" borderId="0" xfId="0" applyFont="1" applyAlignment="1">
      <alignment/>
    </xf>
    <xf numFmtId="2" fontId="2" fillId="0" borderId="0" xfId="0" applyNumberFormat="1" applyFont="1" applyBorder="1" applyAlignment="1">
      <alignment horizontal="right"/>
    </xf>
    <xf numFmtId="2" fontId="1" fillId="20" borderId="10" xfId="0" applyNumberFormat="1" applyFont="1" applyFill="1" applyBorder="1" applyAlignment="1">
      <alignment horizontal="left"/>
    </xf>
    <xf numFmtId="2" fontId="1" fillId="7" borderId="11" xfId="0" applyNumberFormat="1" applyFont="1" applyFill="1" applyBorder="1" applyAlignment="1">
      <alignment horizontal="center"/>
    </xf>
    <xf numFmtId="2" fontId="1" fillId="24" borderId="12" xfId="0" applyNumberFormat="1" applyFont="1" applyFill="1" applyBorder="1" applyAlignment="1">
      <alignment horizontal="center"/>
    </xf>
    <xf numFmtId="2" fontId="1" fillId="24" borderId="11" xfId="0" applyNumberFormat="1" applyFont="1" applyFill="1" applyBorder="1" applyAlignment="1">
      <alignment horizontal="center"/>
    </xf>
    <xf numFmtId="2" fontId="1" fillId="20" borderId="11" xfId="0" applyNumberFormat="1" applyFont="1" applyFill="1" applyBorder="1" applyAlignment="1">
      <alignment horizontal="center"/>
    </xf>
    <xf numFmtId="2" fontId="1" fillId="22" borderId="11" xfId="0" applyNumberFormat="1" applyFont="1" applyFill="1" applyBorder="1" applyAlignment="1">
      <alignment horizontal="center"/>
    </xf>
    <xf numFmtId="3" fontId="1" fillId="22" borderId="11" xfId="0" applyNumberFormat="1" applyFont="1" applyFill="1" applyBorder="1" applyAlignment="1">
      <alignment horizontal="center" vertical="center" wrapText="1"/>
    </xf>
    <xf numFmtId="0" fontId="1" fillId="22" borderId="11" xfId="0" applyFont="1" applyFill="1" applyBorder="1" applyAlignment="1">
      <alignment horizontal="center" vertical="center" wrapText="1"/>
    </xf>
    <xf numFmtId="0" fontId="1" fillId="22" borderId="11" xfId="0" applyFont="1" applyFill="1" applyBorder="1" applyAlignment="1">
      <alignment horizontal="center"/>
    </xf>
    <xf numFmtId="0" fontId="1" fillId="22" borderId="13" xfId="0" applyFont="1" applyFill="1" applyBorder="1" applyAlignment="1">
      <alignment horizontal="center"/>
    </xf>
    <xf numFmtId="2" fontId="1" fillId="0" borderId="14" xfId="0" applyNumberFormat="1" applyFont="1" applyFill="1" applyBorder="1" applyAlignment="1">
      <alignment horizontal="center"/>
    </xf>
    <xf numFmtId="4" fontId="2" fillId="0" borderId="0" xfId="0" applyNumberFormat="1" applyFont="1" applyAlignment="1">
      <alignment/>
    </xf>
    <xf numFmtId="0" fontId="1" fillId="20" borderId="15" xfId="0" applyFont="1" applyFill="1" applyBorder="1" applyAlignment="1">
      <alignment/>
    </xf>
    <xf numFmtId="3" fontId="1" fillId="7" borderId="16" xfId="0" applyNumberFormat="1" applyFont="1" applyFill="1" applyBorder="1" applyAlignment="1">
      <alignment horizontal="right"/>
    </xf>
    <xf numFmtId="3" fontId="2" fillId="0" borderId="16" xfId="0" applyNumberFormat="1" applyFont="1" applyFill="1" applyBorder="1" applyAlignment="1">
      <alignment horizontal="right"/>
    </xf>
    <xf numFmtId="3" fontId="2" fillId="0" borderId="16" xfId="0" applyNumberFormat="1" applyFont="1" applyFill="1" applyBorder="1" applyAlignment="1">
      <alignment horizontal="right" vertical="center" wrapText="1"/>
    </xf>
    <xf numFmtId="3" fontId="2" fillId="0" borderId="17" xfId="0" applyNumberFormat="1" applyFont="1" applyFill="1" applyBorder="1" applyAlignment="1">
      <alignment horizontal="right"/>
    </xf>
    <xf numFmtId="0" fontId="2" fillId="0" borderId="18" xfId="0" applyFont="1" applyBorder="1" applyAlignment="1">
      <alignment/>
    </xf>
    <xf numFmtId="0" fontId="2" fillId="0" borderId="19" xfId="0" applyFont="1" applyBorder="1" applyAlignment="1">
      <alignment/>
    </xf>
    <xf numFmtId="0" fontId="5" fillId="0" borderId="0" xfId="0" applyFont="1" applyAlignment="1">
      <alignment/>
    </xf>
    <xf numFmtId="11" fontId="1" fillId="7" borderId="16" xfId="0" applyNumberFormat="1" applyFont="1" applyFill="1" applyBorder="1" applyAlignment="1">
      <alignment horizontal="right"/>
    </xf>
    <xf numFmtId="11" fontId="2" fillId="0" borderId="16" xfId="0" applyNumberFormat="1" applyFont="1" applyFill="1" applyBorder="1" applyAlignment="1">
      <alignment horizontal="right"/>
    </xf>
    <xf numFmtId="11" fontId="2" fillId="0" borderId="17"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2" fontId="2" fillId="0" borderId="0" xfId="0" applyNumberFormat="1" applyFont="1" applyFill="1" applyBorder="1" applyAlignment="1">
      <alignment horizontal="right"/>
    </xf>
    <xf numFmtId="165" fontId="2" fillId="0" borderId="0" xfId="0" applyNumberFormat="1" applyFont="1" applyAlignment="1">
      <alignment/>
    </xf>
    <xf numFmtId="0" fontId="1" fillId="0" borderId="0" xfId="0" applyFont="1" applyFill="1" applyBorder="1" applyAlignment="1">
      <alignment wrapText="1"/>
    </xf>
    <xf numFmtId="166" fontId="1" fillId="7" borderId="16" xfId="0" applyNumberFormat="1" applyFont="1" applyFill="1" applyBorder="1" applyAlignment="1" quotePrefix="1">
      <alignment horizontal="right"/>
    </xf>
    <xf numFmtId="166" fontId="2" fillId="0" borderId="16" xfId="0" applyNumberFormat="1" applyFont="1" applyFill="1" applyBorder="1" applyAlignment="1" quotePrefix="1">
      <alignment horizontal="right"/>
    </xf>
    <xf numFmtId="11" fontId="2" fillId="0" borderId="17" xfId="0" applyNumberFormat="1" applyFont="1" applyFill="1" applyBorder="1" applyAlignment="1" quotePrefix="1">
      <alignment horizontal="right"/>
    </xf>
    <xf numFmtId="11" fontId="2" fillId="0" borderId="16" xfId="0" applyNumberFormat="1" applyFont="1" applyFill="1" applyBorder="1" applyAlignment="1" quotePrefix="1">
      <alignment horizontal="right"/>
    </xf>
    <xf numFmtId="0" fontId="2" fillId="0" borderId="17" xfId="0" applyFont="1" applyFill="1" applyBorder="1" applyAlignment="1" quotePrefix="1">
      <alignment horizontal="right"/>
    </xf>
    <xf numFmtId="0" fontId="2" fillId="0" borderId="18" xfId="0" applyFont="1" applyBorder="1" applyAlignment="1" quotePrefix="1">
      <alignment/>
    </xf>
    <xf numFmtId="2" fontId="2" fillId="0" borderId="0" xfId="0" applyNumberFormat="1" applyFont="1" applyBorder="1" applyAlignment="1">
      <alignment/>
    </xf>
    <xf numFmtId="4" fontId="7" fillId="0" borderId="0" xfId="0" applyNumberFormat="1" applyFont="1" applyAlignment="1">
      <alignment/>
    </xf>
    <xf numFmtId="11" fontId="1" fillId="7" borderId="16" xfId="0" applyNumberFormat="1" applyFont="1" applyFill="1" applyBorder="1" applyAlignment="1" applyProtection="1">
      <alignment horizontal="right"/>
      <protection/>
    </xf>
    <xf numFmtId="11" fontId="2" fillId="0" borderId="16" xfId="0" applyNumberFormat="1" applyFont="1" applyFill="1" applyBorder="1" applyAlignment="1" applyProtection="1" quotePrefix="1">
      <alignment horizontal="right"/>
      <protection/>
    </xf>
    <xf numFmtId="11" fontId="2" fillId="0" borderId="16" xfId="0" applyNumberFormat="1" applyFont="1" applyFill="1" applyBorder="1" applyAlignment="1" applyProtection="1">
      <alignment horizontal="right"/>
      <protection/>
    </xf>
    <xf numFmtId="11" fontId="2" fillId="0" borderId="17" xfId="0" applyNumberFormat="1" applyFont="1" applyFill="1" applyBorder="1" applyAlignment="1" applyProtection="1" quotePrefix="1">
      <alignment horizontal="right"/>
      <protection/>
    </xf>
    <xf numFmtId="2" fontId="2" fillId="0" borderId="0" xfId="0" applyNumberFormat="1" applyFont="1" applyAlignment="1">
      <alignment/>
    </xf>
    <xf numFmtId="0" fontId="2" fillId="0" borderId="0" xfId="0" applyFont="1" applyAlignment="1">
      <alignment horizontal="center"/>
    </xf>
    <xf numFmtId="0" fontId="7"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 wrapText="1"/>
    </xf>
    <xf numFmtId="167" fontId="0" fillId="0" borderId="0" xfId="0" applyNumberFormat="1" applyFill="1" applyBorder="1" applyAlignment="1">
      <alignment/>
    </xf>
    <xf numFmtId="1" fontId="0" fillId="0" borderId="0" xfId="0" applyNumberFormat="1" applyFill="1" applyBorder="1" applyAlignment="1">
      <alignment/>
    </xf>
    <xf numFmtId="0" fontId="2" fillId="0" borderId="0" xfId="0" applyFont="1" applyFill="1" applyAlignment="1">
      <alignment/>
    </xf>
    <xf numFmtId="0" fontId="0" fillId="0" borderId="0" xfId="0" applyAlignment="1">
      <alignment horizontal="center"/>
    </xf>
    <xf numFmtId="0" fontId="8" fillId="24" borderId="10" xfId="0" applyFont="1" applyFill="1" applyBorder="1"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167" fontId="0" fillId="0" borderId="20" xfId="0" applyNumberFormat="1" applyFill="1" applyBorder="1" applyAlignment="1">
      <alignment/>
    </xf>
    <xf numFmtId="1" fontId="0" fillId="0" borderId="21" xfId="0" applyNumberFormat="1" applyFill="1" applyBorder="1" applyAlignment="1">
      <alignment/>
    </xf>
    <xf numFmtId="167" fontId="0" fillId="0" borderId="21" xfId="0" applyNumberFormat="1" applyFill="1" applyBorder="1" applyAlignment="1">
      <alignment/>
    </xf>
    <xf numFmtId="2" fontId="0" fillId="0" borderId="22" xfId="0" applyNumberFormat="1" applyFill="1" applyBorder="1" applyAlignment="1">
      <alignment/>
    </xf>
    <xf numFmtId="0" fontId="0" fillId="0" borderId="0" xfId="0" applyFill="1" applyBorder="1" applyAlignment="1">
      <alignment/>
    </xf>
    <xf numFmtId="0" fontId="10" fillId="0" borderId="0" xfId="0" applyFont="1" applyFill="1" applyBorder="1" applyAlignment="1">
      <alignment/>
    </xf>
    <xf numFmtId="0" fontId="8" fillId="24" borderId="23" xfId="0" applyFont="1" applyFill="1" applyBorder="1" applyAlignment="1">
      <alignment horizontal="center"/>
    </xf>
    <xf numFmtId="11"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2" fillId="0" borderId="0" xfId="0" applyFont="1" applyFill="1" applyBorder="1" applyAlignment="1" quotePrefix="1">
      <alignment/>
    </xf>
    <xf numFmtId="11" fontId="2" fillId="0" borderId="0" xfId="0" applyNumberFormat="1" applyFont="1" applyFill="1" applyBorder="1" applyAlignment="1" applyProtection="1" quotePrefix="1">
      <alignment horizontal="right"/>
      <protection/>
    </xf>
    <xf numFmtId="11" fontId="2" fillId="0" borderId="0" xfId="0" applyNumberFormat="1" applyFont="1" applyFill="1" applyBorder="1" applyAlignment="1" applyProtection="1">
      <alignment horizontal="right"/>
      <protection/>
    </xf>
    <xf numFmtId="0" fontId="2" fillId="0" borderId="0" xfId="0" applyFont="1" applyFill="1" applyBorder="1" applyAlignment="1">
      <alignment/>
    </xf>
    <xf numFmtId="3" fontId="1" fillId="0" borderId="0" xfId="0" applyNumberFormat="1" applyFont="1" applyFill="1" applyBorder="1" applyAlignment="1">
      <alignment/>
    </xf>
    <xf numFmtId="3" fontId="2" fillId="0" borderId="0" xfId="0" applyNumberFormat="1" applyFont="1" applyFill="1" applyBorder="1" applyAlignment="1">
      <alignment/>
    </xf>
    <xf numFmtId="0" fontId="1" fillId="20" borderId="24" xfId="0" applyFont="1" applyFill="1" applyBorder="1" applyAlignment="1">
      <alignment/>
    </xf>
    <xf numFmtId="3" fontId="1" fillId="7" borderId="25" xfId="0" applyNumberFormat="1" applyFont="1" applyFill="1" applyBorder="1" applyAlignment="1">
      <alignment horizontal="right"/>
    </xf>
    <xf numFmtId="3" fontId="2" fillId="0" borderId="25" xfId="0" applyNumberFormat="1" applyFont="1" applyFill="1" applyBorder="1" applyAlignment="1">
      <alignment horizontal="right"/>
    </xf>
    <xf numFmtId="3" fontId="2" fillId="0" borderId="25" xfId="0" applyNumberFormat="1" applyFont="1" applyFill="1" applyBorder="1" applyAlignment="1">
      <alignment/>
    </xf>
    <xf numFmtId="3" fontId="2" fillId="0" borderId="25" xfId="0" applyNumberFormat="1" applyFont="1" applyFill="1" applyBorder="1" applyAlignment="1" quotePrefix="1">
      <alignment horizontal="right"/>
    </xf>
    <xf numFmtId="3" fontId="2" fillId="0" borderId="26" xfId="0" applyNumberFormat="1" applyFont="1" applyFill="1" applyBorder="1" applyAlignment="1">
      <alignment horizontal="right"/>
    </xf>
    <xf numFmtId="3" fontId="0" fillId="0" borderId="21" xfId="0" applyNumberForma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quotePrefix="1">
      <alignment horizontal="right"/>
    </xf>
    <xf numFmtId="3" fontId="1" fillId="0" borderId="0" xfId="0" applyNumberFormat="1" applyFont="1" applyFill="1" applyBorder="1" applyAlignment="1">
      <alignment horizontal="right"/>
    </xf>
    <xf numFmtId="167"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167" fontId="0" fillId="0" borderId="0" xfId="0" applyNumberFormat="1" applyFont="1" applyFill="1" applyBorder="1" applyAlignment="1">
      <alignment/>
    </xf>
    <xf numFmtId="2" fontId="0" fillId="0" borderId="0" xfId="0" applyNumberFormat="1" applyFont="1" applyFill="1" applyBorder="1" applyAlignment="1">
      <alignment/>
    </xf>
    <xf numFmtId="167" fontId="8" fillId="0" borderId="0" xfId="0" applyNumberFormat="1" applyFont="1" applyFill="1" applyBorder="1" applyAlignment="1">
      <alignment/>
    </xf>
    <xf numFmtId="0" fontId="1" fillId="0" borderId="0" xfId="0" applyFont="1" applyFill="1" applyAlignment="1">
      <alignment/>
    </xf>
    <xf numFmtId="0" fontId="8" fillId="0" borderId="0" xfId="0" applyFont="1" applyAlignment="1">
      <alignment/>
    </xf>
    <xf numFmtId="167" fontId="0"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0" fontId="8" fillId="0" borderId="0" xfId="0" applyFont="1" applyFill="1" applyBorder="1" applyAlignment="1">
      <alignment horizontal="right"/>
    </xf>
    <xf numFmtId="0" fontId="1" fillId="0" borderId="0" xfId="0" applyFont="1" applyFill="1" applyBorder="1" applyAlignment="1">
      <alignment horizontal="right"/>
    </xf>
    <xf numFmtId="0" fontId="1" fillId="0" borderId="27" xfId="0" applyFont="1" applyFill="1" applyBorder="1" applyAlignment="1">
      <alignment horizontal="center" vertical="center" wrapText="1"/>
    </xf>
    <xf numFmtId="2" fontId="2" fillId="0" borderId="28" xfId="0" applyNumberFormat="1" applyFont="1" applyBorder="1" applyAlignment="1">
      <alignment vertical="center" wrapText="1"/>
    </xf>
    <xf numFmtId="11" fontId="2" fillId="0" borderId="28" xfId="0" applyNumberFormat="1" applyFont="1" applyBorder="1" applyAlignment="1">
      <alignment vertical="center" wrapText="1"/>
    </xf>
    <xf numFmtId="11" fontId="2" fillId="0" borderId="29" xfId="0" applyNumberFormat="1" applyFont="1" applyBorder="1" applyAlignment="1">
      <alignment vertical="center" wrapText="1"/>
    </xf>
    <xf numFmtId="170" fontId="2" fillId="0" borderId="0" xfId="0" applyNumberFormat="1" applyFont="1" applyAlignment="1">
      <alignment/>
    </xf>
    <xf numFmtId="0" fontId="1" fillId="20" borderId="30" xfId="0" applyFont="1" applyFill="1" applyBorder="1" applyAlignment="1">
      <alignment/>
    </xf>
    <xf numFmtId="0" fontId="1" fillId="20" borderId="31" xfId="0" applyFont="1" applyFill="1" applyBorder="1" applyAlignment="1">
      <alignment/>
    </xf>
    <xf numFmtId="2" fontId="1" fillId="20" borderId="32" xfId="0" applyNumberFormat="1" applyFont="1" applyFill="1" applyBorder="1" applyAlignment="1">
      <alignment horizontal="left"/>
    </xf>
    <xf numFmtId="167" fontId="2" fillId="0" borderId="0" xfId="0" applyNumberFormat="1" applyFont="1" applyFill="1" applyAlignment="1">
      <alignment/>
    </xf>
    <xf numFmtId="0" fontId="2" fillId="0" borderId="27" xfId="0" applyFont="1" applyBorder="1" applyAlignment="1">
      <alignment/>
    </xf>
    <xf numFmtId="171" fontId="2" fillId="0" borderId="33" xfId="0" applyNumberFormat="1" applyFont="1" applyBorder="1" applyAlignment="1">
      <alignment vertical="center" wrapText="1"/>
    </xf>
    <xf numFmtId="0" fontId="2" fillId="0" borderId="27" xfId="0" applyFont="1" applyBorder="1" applyAlignment="1">
      <alignment vertical="center" wrapText="1"/>
    </xf>
    <xf numFmtId="3" fontId="2" fillId="0" borderId="27" xfId="0" applyNumberFormat="1"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171" fontId="2" fillId="0" borderId="30" xfId="0" applyNumberFormat="1" applyFont="1" applyBorder="1" applyAlignment="1">
      <alignment vertical="center" wrapText="1"/>
    </xf>
    <xf numFmtId="165" fontId="1" fillId="4" borderId="34" xfId="0" applyNumberFormat="1" applyFont="1" applyFill="1" applyBorder="1" applyAlignment="1">
      <alignment horizontal="right" vertical="center"/>
    </xf>
    <xf numFmtId="0" fontId="1" fillId="4" borderId="16" xfId="0" applyFont="1" applyFill="1" applyBorder="1" applyAlignment="1">
      <alignment horizontal="right" vertical="center"/>
    </xf>
    <xf numFmtId="0" fontId="1" fillId="4" borderId="17" xfId="0" applyFont="1" applyFill="1" applyBorder="1" applyAlignment="1">
      <alignment horizontal="right" vertical="center"/>
    </xf>
    <xf numFmtId="3" fontId="1" fillId="0" borderId="35" xfId="0" applyNumberFormat="1" applyFont="1" applyFill="1" applyBorder="1" applyAlignment="1">
      <alignment horizontal="center" vertical="center" wrapText="1"/>
    </xf>
    <xf numFmtId="0" fontId="2" fillId="0" borderId="36" xfId="0" applyFont="1" applyBorder="1" applyAlignment="1">
      <alignment vertical="center" wrapText="1"/>
    </xf>
    <xf numFmtId="3" fontId="1" fillId="0" borderId="27" xfId="0" applyNumberFormat="1" applyFont="1" applyFill="1" applyBorder="1" applyAlignment="1">
      <alignment horizontal="center" vertical="center" wrapText="1"/>
    </xf>
    <xf numFmtId="167" fontId="0" fillId="0" borderId="12" xfId="0" applyNumberFormat="1" applyFill="1" applyBorder="1" applyAlignment="1">
      <alignment/>
    </xf>
    <xf numFmtId="1" fontId="0" fillId="0" borderId="11" xfId="0" applyNumberFormat="1" applyFill="1" applyBorder="1" applyAlignment="1">
      <alignment/>
    </xf>
    <xf numFmtId="167" fontId="0" fillId="0" borderId="11" xfId="0" applyNumberFormat="1" applyFill="1" applyBorder="1" applyAlignment="1">
      <alignment/>
    </xf>
    <xf numFmtId="3" fontId="0" fillId="0" borderId="11" xfId="0" applyNumberFormat="1" applyFill="1" applyBorder="1" applyAlignment="1">
      <alignment/>
    </xf>
    <xf numFmtId="167" fontId="0" fillId="0" borderId="11" xfId="0" applyNumberFormat="1" applyFont="1" applyFill="1" applyBorder="1" applyAlignment="1">
      <alignment/>
    </xf>
    <xf numFmtId="167" fontId="0" fillId="0" borderId="37" xfId="0" applyNumberFormat="1" applyFill="1" applyBorder="1" applyAlignment="1">
      <alignment/>
    </xf>
    <xf numFmtId="167" fontId="2" fillId="0" borderId="11" xfId="0" applyNumberFormat="1" applyFont="1" applyFill="1" applyBorder="1" applyAlignment="1">
      <alignment/>
    </xf>
    <xf numFmtId="167" fontId="0" fillId="0" borderId="38" xfId="0" applyNumberFormat="1" applyFill="1" applyBorder="1" applyAlignment="1">
      <alignment/>
    </xf>
    <xf numFmtId="2" fontId="2" fillId="0" borderId="13" xfId="0" applyNumberFormat="1" applyFont="1" applyBorder="1" applyAlignment="1">
      <alignment/>
    </xf>
    <xf numFmtId="167" fontId="0" fillId="0" borderId="39" xfId="0" applyNumberFormat="1" applyFill="1" applyBorder="1" applyAlignment="1">
      <alignment/>
    </xf>
    <xf numFmtId="3" fontId="0" fillId="0" borderId="0" xfId="0" applyNumberFormat="1" applyFill="1" applyBorder="1" applyAlignment="1">
      <alignment/>
    </xf>
    <xf numFmtId="167" fontId="2" fillId="0" borderId="0" xfId="0" applyNumberFormat="1" applyFont="1" applyFill="1" applyBorder="1" applyAlignment="1">
      <alignment/>
    </xf>
    <xf numFmtId="0" fontId="12" fillId="24" borderId="20" xfId="0" applyFont="1" applyFill="1" applyBorder="1" applyAlignment="1">
      <alignment/>
    </xf>
    <xf numFmtId="0" fontId="12" fillId="24" borderId="33" xfId="0" applyFont="1" applyFill="1" applyBorder="1" applyAlignment="1">
      <alignment/>
    </xf>
    <xf numFmtId="167" fontId="0" fillId="0" borderId="22" xfId="0" applyNumberFormat="1" applyFill="1" applyBorder="1" applyAlignment="1">
      <alignment horizontal="center"/>
    </xf>
    <xf numFmtId="167" fontId="0" fillId="0" borderId="28" xfId="0" applyNumberFormat="1" applyFill="1" applyBorder="1" applyAlignment="1">
      <alignment horizontal="center"/>
    </xf>
    <xf numFmtId="0" fontId="1" fillId="0" borderId="39" xfId="0" applyFont="1" applyFill="1" applyBorder="1" applyAlignment="1">
      <alignment horizontal="right"/>
    </xf>
    <xf numFmtId="0" fontId="2" fillId="0" borderId="27" xfId="0" applyFont="1" applyFill="1" applyBorder="1" applyAlignment="1">
      <alignment horizontal="center" vertical="center" wrapText="1"/>
    </xf>
    <xf numFmtId="167" fontId="0" fillId="0" borderId="27" xfId="0" applyNumberFormat="1" applyFont="1" applyFill="1" applyBorder="1" applyAlignment="1">
      <alignment horizontal="center" vertical="center" wrapText="1"/>
    </xf>
    <xf numFmtId="167" fontId="2" fillId="0" borderId="27" xfId="0" applyNumberFormat="1" applyFont="1" applyFill="1" applyBorder="1" applyAlignment="1">
      <alignment horizontal="center" vertical="center" wrapText="1"/>
    </xf>
    <xf numFmtId="171" fontId="0" fillId="0" borderId="28" xfId="0" applyNumberFormat="1" applyFont="1" applyFill="1" applyBorder="1" applyAlignment="1">
      <alignment horizontal="center" vertical="center" wrapText="1"/>
    </xf>
    <xf numFmtId="171" fontId="0" fillId="0" borderId="28" xfId="0" applyNumberFormat="1" applyFont="1" applyFill="1" applyBorder="1" applyAlignment="1">
      <alignment horizontal="center" vertical="center" wrapText="1"/>
    </xf>
    <xf numFmtId="171" fontId="0" fillId="0" borderId="28" xfId="0" applyNumberFormat="1" applyFont="1" applyBorder="1" applyAlignment="1">
      <alignment horizontal="center" vertical="center" wrapText="1"/>
    </xf>
    <xf numFmtId="0" fontId="1" fillId="20" borderId="40" xfId="0" applyFont="1" applyFill="1" applyBorder="1" applyAlignment="1">
      <alignment horizontal="center"/>
    </xf>
    <xf numFmtId="0" fontId="1" fillId="20" borderId="41" xfId="0" applyFont="1" applyFill="1" applyBorder="1" applyAlignment="1">
      <alignment horizontal="center"/>
    </xf>
    <xf numFmtId="0" fontId="1" fillId="20" borderId="42" xfId="0" applyFont="1" applyFill="1" applyBorder="1" applyAlignment="1">
      <alignment horizontal="center"/>
    </xf>
    <xf numFmtId="0" fontId="1" fillId="24" borderId="10" xfId="0" applyFont="1" applyFill="1" applyBorder="1" applyAlignment="1">
      <alignment horizontal="center"/>
    </xf>
    <xf numFmtId="0" fontId="1" fillId="24" borderId="14" xfId="0" applyFont="1" applyFill="1" applyBorder="1" applyAlignment="1">
      <alignment horizontal="center"/>
    </xf>
    <xf numFmtId="0" fontId="8" fillId="4" borderId="34" xfId="0" applyFont="1" applyFill="1" applyBorder="1" applyAlignment="1">
      <alignment horizontal="center" vertical="center" wrapText="1"/>
    </xf>
    <xf numFmtId="0" fontId="1" fillId="4" borderId="16" xfId="0" applyFont="1" applyFill="1" applyBorder="1" applyAlignment="1">
      <alignment horizontal="center" vertical="center" wrapText="1"/>
    </xf>
    <xf numFmtId="167" fontId="8" fillId="4" borderId="16" xfId="0" applyNumberFormat="1" applyFont="1" applyFill="1" applyBorder="1" applyAlignment="1">
      <alignment horizontal="center" vertical="center" wrapText="1"/>
    </xf>
    <xf numFmtId="1" fontId="8" fillId="4" borderId="16"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2" fontId="1" fillId="0" borderId="22" xfId="0" applyNumberFormat="1" applyFont="1" applyFill="1" applyBorder="1" applyAlignment="1">
      <alignment horizontal="right"/>
    </xf>
    <xf numFmtId="3" fontId="1" fillId="0" borderId="28" xfId="0" applyNumberFormat="1" applyFont="1" applyFill="1" applyBorder="1" applyAlignment="1">
      <alignment horizontal="right"/>
    </xf>
    <xf numFmtId="11" fontId="1" fillId="0" borderId="28" xfId="0" applyNumberFormat="1" applyFont="1" applyFill="1" applyBorder="1" applyAlignment="1">
      <alignment horizontal="right"/>
    </xf>
    <xf numFmtId="166" fontId="1" fillId="0" borderId="28" xfId="0" applyNumberFormat="1" applyFont="1" applyFill="1" applyBorder="1" applyAlignment="1" quotePrefix="1">
      <alignment horizontal="right"/>
    </xf>
    <xf numFmtId="11" fontId="1" fillId="0" borderId="28" xfId="0" applyNumberFormat="1" applyFont="1" applyFill="1" applyBorder="1" applyAlignment="1" applyProtection="1">
      <alignment horizontal="right"/>
      <protection/>
    </xf>
    <xf numFmtId="3" fontId="1" fillId="0" borderId="29" xfId="0" applyNumberFormat="1" applyFont="1" applyFill="1" applyBorder="1" applyAlignment="1">
      <alignment horizontal="right"/>
    </xf>
    <xf numFmtId="0" fontId="1" fillId="0" borderId="0" xfId="0" applyFont="1" applyFill="1" applyBorder="1" applyAlignment="1">
      <alignment vertical="center"/>
    </xf>
    <xf numFmtId="0" fontId="1" fillId="20" borderId="10" xfId="0" applyFont="1" applyFill="1" applyBorder="1" applyAlignment="1">
      <alignment/>
    </xf>
    <xf numFmtId="164" fontId="2" fillId="0" borderId="39" xfId="0" applyNumberFormat="1" applyFont="1" applyBorder="1" applyAlignment="1">
      <alignment/>
    </xf>
    <xf numFmtId="0" fontId="2" fillId="0" borderId="43" xfId="0" applyFont="1" applyBorder="1" applyAlignment="1">
      <alignment/>
    </xf>
    <xf numFmtId="0" fontId="1" fillId="20" borderId="23" xfId="0" applyFont="1" applyFill="1" applyBorder="1" applyAlignment="1">
      <alignment/>
    </xf>
    <xf numFmtId="3" fontId="2" fillId="0" borderId="0" xfId="0" applyNumberFormat="1" applyFont="1" applyBorder="1" applyAlignment="1">
      <alignment/>
    </xf>
    <xf numFmtId="0" fontId="2" fillId="0" borderId="44" xfId="0" applyFont="1" applyBorder="1" applyAlignment="1">
      <alignment/>
    </xf>
    <xf numFmtId="0" fontId="1" fillId="20" borderId="45" xfId="0" applyFont="1" applyFill="1" applyBorder="1" applyAlignment="1">
      <alignment/>
    </xf>
    <xf numFmtId="0" fontId="2" fillId="0" borderId="46" xfId="0" applyFont="1" applyBorder="1" applyAlignment="1">
      <alignment/>
    </xf>
    <xf numFmtId="0" fontId="2" fillId="0" borderId="47" xfId="0" applyFont="1" applyBorder="1" applyAlignment="1">
      <alignment/>
    </xf>
    <xf numFmtId="1" fontId="8" fillId="4" borderId="48" xfId="0" applyNumberFormat="1" applyFont="1" applyFill="1" applyBorder="1" applyAlignment="1">
      <alignment horizontal="center" vertical="center" wrapText="1"/>
    </xf>
    <xf numFmtId="167" fontId="0" fillId="0" borderId="49" xfId="0" applyNumberFormat="1" applyFont="1" applyFill="1" applyBorder="1" applyAlignment="1">
      <alignment horizontal="center" vertical="center" wrapText="1"/>
    </xf>
    <xf numFmtId="0" fontId="8" fillId="4" borderId="1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24" borderId="33" xfId="0" applyFont="1" applyFill="1" applyBorder="1" applyAlignment="1">
      <alignment horizontal="left" vertical="center"/>
    </xf>
    <xf numFmtId="0" fontId="8" fillId="24" borderId="33" xfId="0" applyFont="1" applyFill="1" applyBorder="1" applyAlignment="1">
      <alignment horizontal="left" vertical="center"/>
    </xf>
    <xf numFmtId="0" fontId="1" fillId="24" borderId="51" xfId="0" applyFont="1" applyFill="1" applyBorder="1" applyAlignment="1">
      <alignment horizontal="left" vertical="center"/>
    </xf>
    <xf numFmtId="2" fontId="1" fillId="0" borderId="27"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wrapText="1"/>
    </xf>
    <xf numFmtId="2" fontId="1" fillId="0" borderId="52"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 fillId="0" borderId="0" xfId="0" applyFont="1" applyFill="1" applyBorder="1" applyAlignment="1">
      <alignment vertical="center" wrapText="1"/>
    </xf>
    <xf numFmtId="0" fontId="0" fillId="20" borderId="33" xfId="0" applyFont="1" applyFill="1" applyBorder="1" applyAlignment="1">
      <alignment horizontal="center" vertical="center" wrapText="1"/>
    </xf>
    <xf numFmtId="167" fontId="2" fillId="20" borderId="27" xfId="0" applyNumberFormat="1" applyFont="1" applyFill="1" applyBorder="1" applyAlignment="1">
      <alignment horizontal="center" vertical="center" wrapText="1"/>
    </xf>
    <xf numFmtId="167" fontId="0" fillId="20" borderId="27" xfId="0" applyNumberFormat="1" applyFont="1" applyFill="1" applyBorder="1" applyAlignment="1">
      <alignment horizontal="center" vertical="center" wrapText="1"/>
    </xf>
    <xf numFmtId="167" fontId="0" fillId="20" borderId="49" xfId="0" applyNumberFormat="1" applyFont="1" applyFill="1" applyBorder="1" applyAlignment="1">
      <alignment horizontal="center" vertical="center" wrapText="1"/>
    </xf>
    <xf numFmtId="171" fontId="0" fillId="20" borderId="28" xfId="0" applyNumberFormat="1" applyFont="1" applyFill="1" applyBorder="1" applyAlignment="1">
      <alignment horizontal="center" vertical="center" wrapText="1"/>
    </xf>
    <xf numFmtId="171" fontId="0" fillId="20" borderId="28" xfId="0" applyNumberFormat="1" applyFont="1" applyFill="1" applyBorder="1" applyAlignment="1">
      <alignment horizontal="center" vertical="center" wrapText="1"/>
    </xf>
    <xf numFmtId="0" fontId="0" fillId="20" borderId="53" xfId="0" applyFont="1" applyFill="1" applyBorder="1" applyAlignment="1">
      <alignment horizontal="center" vertical="center" wrapText="1"/>
    </xf>
    <xf numFmtId="167" fontId="2" fillId="20" borderId="54" xfId="0" applyNumberFormat="1" applyFont="1" applyFill="1" applyBorder="1" applyAlignment="1">
      <alignment horizontal="center" vertical="center" wrapText="1"/>
    </xf>
    <xf numFmtId="167" fontId="0" fillId="20" borderId="54" xfId="0" applyNumberFormat="1" applyFont="1" applyFill="1" applyBorder="1" applyAlignment="1">
      <alignment horizontal="center" vertical="center" wrapText="1"/>
    </xf>
    <xf numFmtId="167" fontId="0" fillId="20" borderId="55" xfId="0" applyNumberFormat="1" applyFont="1" applyFill="1" applyBorder="1" applyAlignment="1">
      <alignment horizontal="center" vertical="center" wrapText="1"/>
    </xf>
    <xf numFmtId="171" fontId="0" fillId="20" borderId="56"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171" fontId="0" fillId="0" borderId="28" xfId="0" applyNumberFormat="1" applyFont="1" applyFill="1" applyBorder="1" applyAlignment="1">
      <alignment horizontal="center" vertical="center" wrapText="1"/>
    </xf>
    <xf numFmtId="0" fontId="0" fillId="0" borderId="30" xfId="0" applyFont="1" applyBorder="1" applyAlignment="1">
      <alignment horizontal="center" vertical="center" wrapText="1"/>
    </xf>
    <xf numFmtId="171" fontId="2" fillId="20" borderId="33" xfId="0" applyNumberFormat="1" applyFont="1" applyFill="1" applyBorder="1" applyAlignment="1">
      <alignment vertical="center" wrapText="1"/>
    </xf>
    <xf numFmtId="0" fontId="2" fillId="20" borderId="27" xfId="0" applyFont="1" applyFill="1" applyBorder="1" applyAlignment="1">
      <alignment vertical="center" wrapText="1"/>
    </xf>
    <xf numFmtId="171" fontId="2" fillId="20" borderId="33" xfId="0" applyNumberFormat="1" applyFont="1" applyFill="1" applyBorder="1" applyAlignment="1">
      <alignment/>
    </xf>
    <xf numFmtId="0" fontId="2" fillId="20" borderId="27" xfId="0" applyFont="1" applyFill="1" applyBorder="1" applyAlignment="1">
      <alignment/>
    </xf>
    <xf numFmtId="171" fontId="0" fillId="0" borderId="33" xfId="0" applyNumberFormat="1" applyBorder="1" applyAlignment="1">
      <alignment vertical="center" wrapText="1"/>
    </xf>
    <xf numFmtId="0" fontId="0" fillId="0" borderId="27" xfId="0" applyBorder="1" applyAlignment="1">
      <alignment vertical="center"/>
    </xf>
    <xf numFmtId="0" fontId="0" fillId="0" borderId="0" xfId="0" applyAlignment="1">
      <alignment vertical="center"/>
    </xf>
    <xf numFmtId="171" fontId="2" fillId="20" borderId="33" xfId="0" applyNumberFormat="1" applyFont="1" applyFill="1" applyBorder="1" applyAlignment="1">
      <alignment vertical="center"/>
    </xf>
    <xf numFmtId="0" fontId="2" fillId="20" borderId="27" xfId="0" applyFont="1" applyFill="1" applyBorder="1" applyAlignment="1">
      <alignment vertical="center"/>
    </xf>
    <xf numFmtId="171" fontId="2" fillId="0" borderId="33" xfId="0" applyNumberFormat="1" applyFont="1" applyBorder="1" applyAlignment="1">
      <alignment vertical="center"/>
    </xf>
    <xf numFmtId="0" fontId="2" fillId="0" borderId="27" xfId="0" applyFont="1" applyBorder="1" applyAlignment="1">
      <alignment vertical="center"/>
    </xf>
    <xf numFmtId="171" fontId="0" fillId="20" borderId="33" xfId="0" applyNumberFormat="1" applyFill="1" applyBorder="1" applyAlignment="1">
      <alignment vertical="center"/>
    </xf>
    <xf numFmtId="0" fontId="0" fillId="20" borderId="27" xfId="0" applyFill="1" applyBorder="1" applyAlignment="1">
      <alignment vertical="center"/>
    </xf>
    <xf numFmtId="171" fontId="0" fillId="20" borderId="33" xfId="0" applyNumberFormat="1" applyFill="1" applyBorder="1" applyAlignment="1">
      <alignment vertical="center" wrapText="1"/>
    </xf>
    <xf numFmtId="171" fontId="0" fillId="0" borderId="33" xfId="0" applyNumberFormat="1" applyBorder="1" applyAlignment="1">
      <alignment vertical="center"/>
    </xf>
    <xf numFmtId="171" fontId="0" fillId="0" borderId="51" xfId="0" applyNumberFormat="1" applyBorder="1" applyAlignment="1">
      <alignment vertical="center"/>
    </xf>
    <xf numFmtId="0" fontId="0" fillId="0" borderId="52" xfId="0" applyBorder="1" applyAlignment="1">
      <alignment vertical="center"/>
    </xf>
    <xf numFmtId="3" fontId="2" fillId="20" borderId="27" xfId="0" applyNumberFormat="1" applyFont="1" applyFill="1" applyBorder="1" applyAlignment="1">
      <alignment vertical="center" wrapText="1"/>
    </xf>
    <xf numFmtId="171" fontId="0" fillId="0" borderId="51" xfId="0" applyNumberFormat="1" applyBorder="1" applyAlignment="1">
      <alignment vertical="center" wrapText="1"/>
    </xf>
    <xf numFmtId="171" fontId="0" fillId="20" borderId="28" xfId="0" applyNumberFormat="1" applyFont="1" applyFill="1" applyBorder="1" applyAlignment="1">
      <alignment horizontal="center" vertical="center" wrapText="1"/>
    </xf>
    <xf numFmtId="171" fontId="0" fillId="20" borderId="56" xfId="0" applyNumberFormat="1" applyFont="1" applyFill="1" applyBorder="1" applyAlignment="1">
      <alignment horizontal="center" vertical="center" wrapText="1"/>
    </xf>
    <xf numFmtId="0" fontId="0" fillId="20" borderId="30" xfId="0" applyFont="1" applyFill="1" applyBorder="1" applyAlignment="1">
      <alignment horizontal="center" vertical="center" wrapText="1"/>
    </xf>
    <xf numFmtId="0" fontId="0" fillId="20" borderId="57" xfId="0" applyFont="1" applyFill="1" applyBorder="1" applyAlignment="1">
      <alignment horizontal="center" vertical="center" wrapText="1"/>
    </xf>
    <xf numFmtId="0" fontId="0" fillId="20" borderId="51" xfId="0" applyFont="1" applyFill="1" applyBorder="1" applyAlignment="1">
      <alignment horizontal="center" vertical="center" wrapText="1"/>
    </xf>
    <xf numFmtId="167" fontId="2" fillId="20" borderId="52" xfId="0" applyNumberFormat="1" applyFont="1" applyFill="1" applyBorder="1" applyAlignment="1">
      <alignment horizontal="center" vertical="center" wrapText="1"/>
    </xf>
    <xf numFmtId="167" fontId="0" fillId="20" borderId="52" xfId="0" applyNumberFormat="1" applyFont="1" applyFill="1" applyBorder="1" applyAlignment="1">
      <alignment horizontal="center" vertical="center" wrapText="1"/>
    </xf>
    <xf numFmtId="167" fontId="0" fillId="20" borderId="58" xfId="0" applyNumberFormat="1" applyFont="1" applyFill="1" applyBorder="1" applyAlignment="1">
      <alignment horizontal="center" vertical="center" wrapText="1"/>
    </xf>
    <xf numFmtId="171" fontId="0" fillId="20" borderId="29" xfId="0" applyNumberFormat="1"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60" xfId="0" applyFont="1" applyFill="1" applyBorder="1" applyAlignment="1">
      <alignment vertical="center" wrapText="1"/>
    </xf>
    <xf numFmtId="0" fontId="1" fillId="4" borderId="59" xfId="0" applyFont="1" applyFill="1" applyBorder="1" applyAlignment="1">
      <alignment vertical="center" wrapText="1"/>
    </xf>
    <xf numFmtId="0" fontId="1" fillId="4" borderId="61" xfId="0" applyFont="1" applyFill="1" applyBorder="1" applyAlignment="1">
      <alignment vertical="center" wrapText="1"/>
    </xf>
    <xf numFmtId="0" fontId="1" fillId="4" borderId="59" xfId="0" applyFont="1" applyFill="1" applyBorder="1" applyAlignment="1">
      <alignment horizontal="left" vertical="center" wrapText="1"/>
    </xf>
    <xf numFmtId="0" fontId="1" fillId="4" borderId="15" xfId="0" applyFont="1" applyFill="1" applyBorder="1" applyAlignment="1">
      <alignment vertical="center" wrapText="1"/>
    </xf>
    <xf numFmtId="0" fontId="1" fillId="4" borderId="62" xfId="0" applyFont="1" applyFill="1" applyBorder="1" applyAlignment="1">
      <alignment vertical="center" wrapText="1"/>
    </xf>
    <xf numFmtId="0" fontId="1" fillId="4" borderId="18" xfId="0" applyFont="1" applyFill="1" applyBorder="1" applyAlignment="1">
      <alignment vertical="center" wrapText="1"/>
    </xf>
    <xf numFmtId="0" fontId="1" fillId="4" borderId="57" xfId="0" applyFont="1" applyFill="1" applyBorder="1" applyAlignment="1">
      <alignment vertical="center" wrapText="1"/>
    </xf>
    <xf numFmtId="0" fontId="1" fillId="4" borderId="63" xfId="0" applyFont="1" applyFill="1" applyBorder="1" applyAlignment="1">
      <alignment vertical="center" wrapText="1"/>
    </xf>
    <xf numFmtId="0" fontId="1" fillId="4" borderId="63" xfId="0" applyFont="1" applyFill="1" applyBorder="1" applyAlignment="1">
      <alignment horizontal="center" vertical="center" wrapText="1"/>
    </xf>
    <xf numFmtId="0" fontId="1" fillId="4" borderId="64" xfId="0" applyFont="1" applyFill="1" applyBorder="1" applyAlignment="1">
      <alignment vertical="center" wrapText="1"/>
    </xf>
    <xf numFmtId="171" fontId="0" fillId="20" borderId="56" xfId="0" applyNumberFormat="1" applyFont="1" applyFill="1" applyBorder="1" applyAlignment="1">
      <alignment horizontal="center" vertical="center" wrapText="1"/>
    </xf>
    <xf numFmtId="0" fontId="1" fillId="4" borderId="63" xfId="0" applyFont="1" applyFill="1" applyBorder="1" applyAlignment="1">
      <alignment horizontal="left" vertical="center" wrapText="1"/>
    </xf>
    <xf numFmtId="0" fontId="1" fillId="4" borderId="60" xfId="0" applyFont="1" applyFill="1" applyBorder="1" applyAlignment="1">
      <alignment vertical="center"/>
    </xf>
    <xf numFmtId="0" fontId="1" fillId="4" borderId="59" xfId="0" applyFont="1" applyFill="1" applyBorder="1" applyAlignment="1">
      <alignment vertical="center"/>
    </xf>
    <xf numFmtId="0" fontId="1" fillId="4" borderId="61" xfId="0" applyFont="1" applyFill="1" applyBorder="1" applyAlignment="1">
      <alignment vertical="center"/>
    </xf>
    <xf numFmtId="171" fontId="2" fillId="0" borderId="36" xfId="0" applyNumberFormat="1" applyFont="1" applyBorder="1" applyAlignment="1">
      <alignment vertical="center" wrapText="1"/>
    </xf>
    <xf numFmtId="171" fontId="2" fillId="0" borderId="28" xfId="0" applyNumberFormat="1" applyFont="1" applyBorder="1" applyAlignment="1">
      <alignment vertical="center" wrapText="1"/>
    </xf>
    <xf numFmtId="171" fontId="2" fillId="0" borderId="36" xfId="0" applyNumberFormat="1" applyFont="1" applyBorder="1" applyAlignment="1">
      <alignment/>
    </xf>
    <xf numFmtId="171" fontId="2" fillId="0" borderId="28" xfId="0" applyNumberFormat="1" applyFont="1" applyBorder="1" applyAlignment="1">
      <alignment/>
    </xf>
    <xf numFmtId="171" fontId="2" fillId="0" borderId="29" xfId="0" applyNumberFormat="1" applyFont="1" applyBorder="1" applyAlignment="1">
      <alignment vertical="center" wrapText="1"/>
    </xf>
    <xf numFmtId="171" fontId="2" fillId="0" borderId="29" xfId="0" applyNumberFormat="1" applyFont="1" applyBorder="1" applyAlignment="1">
      <alignment/>
    </xf>
    <xf numFmtId="167" fontId="0" fillId="0" borderId="35" xfId="0" applyNumberFormat="1" applyFont="1" applyFill="1" applyBorder="1" applyAlignment="1">
      <alignment horizontal="center" vertical="center" wrapText="1"/>
    </xf>
    <xf numFmtId="171" fontId="2" fillId="20" borderId="28" xfId="0" applyNumberFormat="1" applyFont="1" applyFill="1" applyBorder="1" applyAlignment="1">
      <alignment vertical="center" wrapText="1"/>
    </xf>
    <xf numFmtId="171" fontId="2" fillId="20" borderId="28" xfId="0" applyNumberFormat="1" applyFont="1" applyFill="1" applyBorder="1" applyAlignment="1">
      <alignment/>
    </xf>
    <xf numFmtId="167" fontId="0" fillId="20" borderId="27" xfId="0" applyNumberFormat="1" applyFont="1" applyFill="1" applyBorder="1" applyAlignment="1">
      <alignment horizontal="center" vertical="center" wrapText="1"/>
    </xf>
    <xf numFmtId="167" fontId="0" fillId="20" borderId="54" xfId="0" applyNumberFormat="1" applyFont="1" applyFill="1" applyBorder="1" applyAlignment="1">
      <alignment horizontal="center" vertical="center" wrapText="1"/>
    </xf>
    <xf numFmtId="167" fontId="0" fillId="20" borderId="52" xfId="0" applyNumberFormat="1" applyFont="1" applyFill="1" applyBorder="1" applyAlignment="1">
      <alignment horizontal="center" vertical="center" wrapText="1"/>
    </xf>
    <xf numFmtId="0" fontId="36" fillId="0" borderId="0" xfId="0" applyFont="1" applyAlignment="1">
      <alignment/>
    </xf>
    <xf numFmtId="0" fontId="1" fillId="15" borderId="40" xfId="0" applyFont="1" applyFill="1" applyBorder="1" applyAlignment="1">
      <alignment horizontal="center" vertical="center" wrapText="1"/>
    </xf>
    <xf numFmtId="0" fontId="1" fillId="15" borderId="41"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12" fillId="7" borderId="34" xfId="0" applyFont="1" applyFill="1" applyBorder="1" applyAlignment="1">
      <alignment horizontal="left" vertical="center" wrapText="1"/>
    </xf>
    <xf numFmtId="0" fontId="12" fillId="7" borderId="16" xfId="0" applyFont="1" applyFill="1" applyBorder="1" applyAlignment="1">
      <alignment horizontal="left" vertical="center" wrapText="1"/>
    </xf>
    <xf numFmtId="0" fontId="12" fillId="7" borderId="17" xfId="0" applyFont="1" applyFill="1" applyBorder="1" applyAlignment="1">
      <alignment horizontal="left" vertical="center" wrapText="1"/>
    </xf>
    <xf numFmtId="0" fontId="12" fillId="7" borderId="65"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 fillId="20" borderId="66" xfId="0" applyFont="1" applyFill="1" applyBorder="1" applyAlignment="1">
      <alignment horizontal="center" vertical="center"/>
    </xf>
    <xf numFmtId="0" fontId="1" fillId="20" borderId="67" xfId="0" applyFont="1" applyFill="1" applyBorder="1" applyAlignment="1">
      <alignment horizontal="center" vertical="center"/>
    </xf>
    <xf numFmtId="0" fontId="1" fillId="20" borderId="68" xfId="0" applyFont="1" applyFill="1" applyBorder="1" applyAlignment="1">
      <alignment horizontal="center" vertical="center"/>
    </xf>
    <xf numFmtId="0" fontId="8" fillId="4" borderId="66" xfId="0" applyFont="1" applyFill="1" applyBorder="1" applyAlignment="1">
      <alignment horizontal="center"/>
    </xf>
    <xf numFmtId="0" fontId="8" fillId="4" borderId="67" xfId="0" applyFont="1" applyFill="1" applyBorder="1" applyAlignment="1">
      <alignment horizontal="center"/>
    </xf>
    <xf numFmtId="0" fontId="8" fillId="4" borderId="68" xfId="0" applyFont="1" applyFill="1" applyBorder="1" applyAlignment="1">
      <alignment horizontal="center"/>
    </xf>
    <xf numFmtId="0" fontId="1" fillId="4" borderId="66" xfId="0" applyFont="1" applyFill="1" applyBorder="1" applyAlignment="1">
      <alignment horizontal="center"/>
    </xf>
    <xf numFmtId="0" fontId="1" fillId="4" borderId="67" xfId="0" applyFont="1" applyFill="1" applyBorder="1" applyAlignment="1">
      <alignment horizontal="center"/>
    </xf>
    <xf numFmtId="0" fontId="1" fillId="4" borderId="68" xfId="0" applyFont="1" applyFill="1" applyBorder="1" applyAlignment="1">
      <alignment horizontal="center"/>
    </xf>
    <xf numFmtId="0" fontId="2" fillId="0" borderId="0" xfId="0" applyFont="1" applyBorder="1" applyAlignment="1">
      <alignment horizontal="left" wrapText="1"/>
    </xf>
    <xf numFmtId="3" fontId="2" fillId="15" borderId="16" xfId="0" applyNumberFormat="1" applyFont="1" applyFill="1" applyBorder="1" applyAlignment="1">
      <alignment horizontal="center" vertical="center" wrapText="1"/>
    </xf>
    <xf numFmtId="0" fontId="2" fillId="15" borderId="16" xfId="0" applyFont="1" applyFill="1" applyBorder="1" applyAlignment="1">
      <alignment horizontal="center" vertical="center" wrapText="1"/>
    </xf>
    <xf numFmtId="0" fontId="1" fillId="20" borderId="40" xfId="0" applyFont="1" applyFill="1" applyBorder="1" applyAlignment="1">
      <alignment horizontal="center" vertical="center" wrapText="1"/>
    </xf>
    <xf numFmtId="0" fontId="1" fillId="20" borderId="41" xfId="0" applyFont="1" applyFill="1" applyBorder="1" applyAlignment="1">
      <alignment horizontal="center" vertical="center" wrapText="1"/>
    </xf>
    <xf numFmtId="0" fontId="1" fillId="20" borderId="42" xfId="0" applyFont="1" applyFill="1" applyBorder="1" applyAlignment="1">
      <alignment horizontal="left" vertical="center" wrapText="1"/>
    </xf>
    <xf numFmtId="0" fontId="1" fillId="24" borderId="34" xfId="0" applyFont="1" applyFill="1" applyBorder="1" applyAlignment="1">
      <alignment horizontal="left" vertical="center"/>
    </xf>
    <xf numFmtId="0" fontId="2" fillId="0" borderId="17" xfId="0" applyFont="1" applyBorder="1" applyAlignment="1">
      <alignment vertical="center" wrapText="1"/>
    </xf>
    <xf numFmtId="2" fontId="2" fillId="0" borderId="17" xfId="0" applyNumberFormat="1" applyFont="1" applyBorder="1" applyAlignment="1">
      <alignment vertical="center" wrapText="1"/>
    </xf>
    <xf numFmtId="0" fontId="8" fillId="24" borderId="34" xfId="0" applyFont="1" applyFill="1" applyBorder="1" applyAlignment="1">
      <alignment horizontal="left" vertical="center"/>
    </xf>
    <xf numFmtId="11" fontId="2" fillId="0" borderId="17" xfId="0" applyNumberFormat="1" applyFont="1" applyBorder="1" applyAlignment="1">
      <alignment vertical="center" wrapText="1"/>
    </xf>
    <xf numFmtId="0" fontId="2" fillId="15" borderId="25" xfId="0" applyFont="1" applyFill="1" applyBorder="1" applyAlignment="1">
      <alignment horizontal="center" vertical="center" wrapText="1"/>
    </xf>
    <xf numFmtId="11" fontId="2" fillId="0" borderId="26" xfId="0" applyNumberFormat="1" applyFont="1" applyBorder="1" applyAlignment="1">
      <alignment vertical="center" wrapText="1"/>
    </xf>
    <xf numFmtId="0" fontId="1" fillId="4" borderId="57" xfId="0" applyFont="1" applyFill="1" applyBorder="1" applyAlignment="1">
      <alignment vertical="center"/>
    </xf>
    <xf numFmtId="0" fontId="1" fillId="4" borderId="63" xfId="0" applyFont="1" applyFill="1" applyBorder="1" applyAlignment="1">
      <alignment vertical="center"/>
    </xf>
    <xf numFmtId="0" fontId="1" fillId="4" borderId="64"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11" fontId="2" fillId="0" borderId="0" xfId="0" applyNumberFormat="1" applyFont="1" applyFill="1" applyBorder="1" applyAlignment="1">
      <alignment vertical="center" wrapText="1"/>
    </xf>
    <xf numFmtId="0" fontId="1" fillId="24" borderId="65" xfId="0" applyFont="1" applyFill="1" applyBorder="1" applyAlignment="1">
      <alignment horizontal="left" vertical="center"/>
    </xf>
    <xf numFmtId="0" fontId="2" fillId="15" borderId="41" xfId="0" applyFont="1" applyFill="1" applyBorder="1" applyAlignment="1">
      <alignment horizontal="center" vertical="center" wrapText="1"/>
    </xf>
    <xf numFmtId="11" fontId="2" fillId="0" borderId="42" xfId="0" applyNumberFormat="1" applyFont="1" applyBorder="1" applyAlignment="1">
      <alignment vertical="center" wrapText="1"/>
    </xf>
    <xf numFmtId="0" fontId="1" fillId="4" borderId="40" xfId="0" applyFont="1" applyFill="1" applyBorder="1" applyAlignment="1">
      <alignment horizontal="right" vertical="center"/>
    </xf>
    <xf numFmtId="0" fontId="1" fillId="4" borderId="65" xfId="0" applyFont="1" applyFill="1" applyBorder="1" applyAlignment="1">
      <alignment horizontal="right"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Comma" xfId="33"/>
    <cellStyle name="Comma [0]" xfId="34"/>
    <cellStyle name="Currency" xfId="35"/>
    <cellStyle name="Currency [0]" xfId="36"/>
    <cellStyle name="Percent" xfId="37"/>
    <cellStyle name="강조색1" xfId="38"/>
    <cellStyle name="강조색2" xfId="39"/>
    <cellStyle name="강조색3" xfId="40"/>
    <cellStyle name="강조색4" xfId="41"/>
    <cellStyle name="강조색5" xfId="42"/>
    <cellStyle name="강조색6" xfId="43"/>
    <cellStyle name="경고문" xfId="44"/>
    <cellStyle name="계산" xfId="45"/>
    <cellStyle name="나쁨" xfId="46"/>
    <cellStyle name="메모" xfId="47"/>
    <cellStyle name="보통" xfId="48"/>
    <cellStyle name="설명 텍스트" xfId="49"/>
    <cellStyle name="셀 확인" xfId="50"/>
    <cellStyle name="연결된 셀" xfId="51"/>
    <cellStyle name="요약" xfId="52"/>
    <cellStyle name="입력" xfId="53"/>
    <cellStyle name="제목" xfId="54"/>
    <cellStyle name="제목 1" xfId="55"/>
    <cellStyle name="제목 2" xfId="56"/>
    <cellStyle name="제목 3" xfId="57"/>
    <cellStyle name="제목 4" xfId="58"/>
    <cellStyle name="좋음" xfId="59"/>
    <cellStyle name="출력"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00" b="1" i="0" u="none" baseline="0">
                <a:solidFill>
                  <a:srgbClr val="003366"/>
                </a:solidFill>
                <a:latin typeface="Arial"/>
                <a:ea typeface="Arial"/>
                <a:cs typeface="Arial"/>
              </a:rPr>
              <a:t>Coverage over a Day for Targets at the Reference Longitude</a:t>
            </a:r>
          </a:p>
        </c:rich>
      </c:tx>
      <c:layout>
        <c:manualLayout>
          <c:xMode val="factor"/>
          <c:yMode val="factor"/>
          <c:x val="-0.0445"/>
          <c:y val="0"/>
        </c:manualLayout>
      </c:layout>
      <c:spPr>
        <a:noFill/>
        <a:ln>
          <a:noFill/>
        </a:ln>
      </c:spPr>
    </c:title>
    <c:plotArea>
      <c:layout>
        <c:manualLayout>
          <c:xMode val="edge"/>
          <c:yMode val="edge"/>
          <c:x val="0.0625"/>
          <c:y val="0.06925"/>
          <c:w val="0.937"/>
          <c:h val="0.8305"/>
        </c:manualLayout>
      </c:layout>
      <c:scatterChart>
        <c:scatterStyle val="lineMarker"/>
        <c:varyColors val="0"/>
        <c:ser>
          <c:idx val="0"/>
          <c:order val="0"/>
          <c:tx>
            <c:v>1st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Figure!$L$18:$L$85</c:f>
              <c:numCache/>
            </c:numRef>
          </c:xVal>
          <c:yVal>
            <c:numRef>
              <c:f>Figure!$N$18:$N$85</c:f>
              <c:numCache/>
            </c:numRef>
          </c:yVal>
          <c:smooth val="0"/>
        </c:ser>
        <c:ser>
          <c:idx val="1"/>
          <c:order val="1"/>
          <c:tx>
            <c:v>2nd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Figure!$P$18:$P$85</c:f>
              <c:numCache/>
            </c:numRef>
          </c:xVal>
          <c:yVal>
            <c:numRef>
              <c:f>Figure!$R$18:$R$85</c:f>
              <c:numCache/>
            </c:numRef>
          </c:yVal>
          <c:smooth val="0"/>
        </c:ser>
        <c:ser>
          <c:idx val="2"/>
          <c:order val="2"/>
          <c:tx>
            <c:v>3rd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Figure!$T$18:$T$85</c:f>
              <c:numCache/>
            </c:numRef>
          </c:xVal>
          <c:yVal>
            <c:numRef>
              <c:f>Figure!$V$18:$V$85</c:f>
              <c:numCache/>
            </c:numRef>
          </c:yVal>
          <c:smooth val="0"/>
        </c:ser>
        <c:ser>
          <c:idx val="3"/>
          <c:order val="3"/>
          <c:tx>
            <c:v>4th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Figure!$X$18:$X$85</c:f>
              <c:numCache/>
            </c:numRef>
          </c:xVal>
          <c:yVal>
            <c:numRef>
              <c:f>Figure!$Z$18:$Z$85</c:f>
              <c:numCache/>
            </c:numRef>
          </c:yVal>
          <c:smooth val="0"/>
        </c:ser>
        <c:ser>
          <c:idx val="4"/>
          <c:order val="4"/>
          <c:tx>
            <c:v>5th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Figure!$AB$18:$AB$85</c:f>
              <c:numCache/>
            </c:numRef>
          </c:xVal>
          <c:yVal>
            <c:numRef>
              <c:f>Figure!$AD$18:$AD$85</c:f>
              <c:numCache/>
            </c:numRef>
          </c:yVal>
          <c:smooth val="0"/>
        </c:ser>
        <c:ser>
          <c:idx val="5"/>
          <c:order val="5"/>
          <c:tx>
            <c:v>6th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Figure!$AF$18:$AF$85</c:f>
              <c:numCache/>
            </c:numRef>
          </c:xVal>
          <c:yVal>
            <c:numRef>
              <c:f>Figure!$AH$18:$AH$85</c:f>
              <c:numCache/>
            </c:numRef>
          </c:yVal>
          <c:smooth val="0"/>
        </c:ser>
        <c:ser>
          <c:idx val="6"/>
          <c:order val="6"/>
          <c:tx>
            <c:v>7th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Figure!$AJ$18:$AJ$85</c:f>
              <c:numCache/>
            </c:numRef>
          </c:xVal>
          <c:yVal>
            <c:numRef>
              <c:f>Figure!$AL$18:$AL$85</c:f>
              <c:numCache/>
            </c:numRef>
          </c:yVal>
          <c:smooth val="0"/>
        </c:ser>
        <c:ser>
          <c:idx val="7"/>
          <c:order val="7"/>
          <c:tx>
            <c:v>8th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Figure!$AN$18:$AN$85</c:f>
              <c:numCache/>
            </c:numRef>
          </c:xVal>
          <c:yVal>
            <c:numRef>
              <c:f>Figure!$AP$18:$AP$85</c:f>
              <c:numCache/>
            </c:numRef>
          </c:yVal>
          <c:smooth val="0"/>
        </c:ser>
        <c:ser>
          <c:idx val="8"/>
          <c:order val="8"/>
          <c:tx>
            <c:v>9th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Figure!$AR$18:$AR$85</c:f>
              <c:numCache/>
            </c:numRef>
          </c:xVal>
          <c:yVal>
            <c:numRef>
              <c:f>Figure!$AT$18:$AT$85</c:f>
              <c:numCache/>
            </c:numRef>
          </c:yVal>
          <c:smooth val="0"/>
        </c:ser>
        <c:ser>
          <c:idx val="9"/>
          <c:order val="9"/>
          <c:tx>
            <c:v>10th Access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Figure!$AV$18:$AV$85</c:f>
              <c:numCache/>
            </c:numRef>
          </c:xVal>
          <c:yVal>
            <c:numRef>
              <c:f>Figure!$AX$18:$AX$85</c:f>
              <c:numCache/>
            </c:numRef>
          </c:yVal>
          <c:smooth val="0"/>
        </c:ser>
        <c:axId val="9195934"/>
        <c:axId val="60864799"/>
      </c:scatterChart>
      <c:valAx>
        <c:axId val="9195934"/>
        <c:scaling>
          <c:orientation val="minMax"/>
          <c:max val="1400"/>
          <c:min val="0"/>
        </c:scaling>
        <c:axPos val="b"/>
        <c:title>
          <c:tx>
            <c:rich>
              <a:bodyPr vert="horz" rot="0" anchor="ctr"/>
              <a:lstStyle/>
              <a:p>
                <a:pPr algn="ctr">
                  <a:defRPr/>
                </a:pPr>
                <a:r>
                  <a:rPr lang="en-US" cap="none" sz="1575" b="1" i="0" u="none" baseline="0">
                    <a:solidFill>
                      <a:srgbClr val="003366"/>
                    </a:solidFill>
                    <a:latin typeface="Arial"/>
                    <a:ea typeface="Arial"/>
                    <a:cs typeface="Arial"/>
                  </a:rPr>
                  <a:t>Time (min)</a:t>
                </a:r>
              </a:p>
            </c:rich>
          </c:tx>
          <c:layout>
            <c:manualLayout>
              <c:xMode val="factor"/>
              <c:yMode val="factor"/>
              <c:x val="-0.011"/>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75" b="0" i="0" u="none" baseline="0">
                <a:solidFill>
                  <a:srgbClr val="003366"/>
                </a:solidFill>
                <a:latin typeface="Arial"/>
                <a:ea typeface="Arial"/>
                <a:cs typeface="Arial"/>
              </a:defRPr>
            </a:pPr>
          </a:p>
        </c:txPr>
        <c:crossAx val="60864799"/>
        <c:crosses val="autoZero"/>
        <c:crossBetween val="midCat"/>
        <c:dispUnits/>
        <c:majorUnit val="200"/>
      </c:valAx>
      <c:valAx>
        <c:axId val="60864799"/>
        <c:scaling>
          <c:orientation val="minMax"/>
        </c:scaling>
        <c:axPos val="l"/>
        <c:title>
          <c:tx>
            <c:rich>
              <a:bodyPr vert="horz" rot="-5400000" anchor="ctr"/>
              <a:lstStyle/>
              <a:p>
                <a:pPr algn="ctr">
                  <a:defRPr/>
                </a:pPr>
                <a:r>
                  <a:rPr lang="en-US" cap="none" sz="1575" b="1" i="0" u="none" baseline="0">
                    <a:solidFill>
                      <a:srgbClr val="003366"/>
                    </a:solidFill>
                    <a:latin typeface="Arial"/>
                    <a:ea typeface="Arial"/>
                    <a:cs typeface="Arial"/>
                  </a:rPr>
                  <a:t>Target/Ground Station Latitude (deg N)</a:t>
                </a:r>
              </a:p>
            </c:rich>
          </c:tx>
          <c:layout>
            <c:manualLayout>
              <c:xMode val="factor"/>
              <c:yMode val="factor"/>
              <c:x val="-0.0045"/>
              <c:y val="-0.01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75" b="0" i="0" u="none" baseline="0">
                <a:solidFill>
                  <a:srgbClr val="003366"/>
                </a:solidFill>
                <a:latin typeface="Arial"/>
                <a:ea typeface="Arial"/>
                <a:cs typeface="Arial"/>
              </a:defRPr>
            </a:pPr>
          </a:p>
        </c:txPr>
        <c:crossAx val="9195934"/>
        <c:crosses val="autoZero"/>
        <c:crossBetween val="midCat"/>
        <c:dispUnits/>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95250</xdr:rowOff>
    </xdr:from>
    <xdr:to>
      <xdr:col>9</xdr:col>
      <xdr:colOff>676275</xdr:colOff>
      <xdr:row>57</xdr:row>
      <xdr:rowOff>9525</xdr:rowOff>
    </xdr:to>
    <xdr:graphicFrame>
      <xdr:nvGraphicFramePr>
        <xdr:cNvPr id="1" name="Chart 1"/>
        <xdr:cNvGraphicFramePr/>
      </xdr:nvGraphicFramePr>
      <xdr:xfrm>
        <a:off x="19050" y="3933825"/>
        <a:ext cx="7734300" cy="5581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86"/>
  <sheetViews>
    <sheetView tabSelected="1" zoomScalePageLayoutView="0" workbookViewId="0" topLeftCell="A1">
      <selection activeCell="A1" sqref="A1"/>
    </sheetView>
  </sheetViews>
  <sheetFormatPr defaultColWidth="9.140625" defaultRowHeight="12.75"/>
  <cols>
    <col min="1" max="1" width="29.28125" style="0" customWidth="1"/>
    <col min="2" max="2" width="8.57421875" style="0" customWidth="1"/>
    <col min="3" max="3" width="5.8515625" style="0" bestFit="1" customWidth="1"/>
    <col min="9" max="9" width="16.7109375" style="0" customWidth="1"/>
    <col min="10" max="20" width="10.8515625" style="0" customWidth="1"/>
    <col min="21" max="21" width="17.8515625" style="0" customWidth="1"/>
    <col min="22" max="22" width="11.00390625" style="0" bestFit="1" customWidth="1"/>
    <col min="23" max="23" width="9.00390625" style="0" bestFit="1" customWidth="1"/>
    <col min="24" max="24" width="18.28125" style="0" bestFit="1" customWidth="1"/>
    <col min="25" max="25" width="4.57421875" style="0" bestFit="1" customWidth="1"/>
    <col min="26" max="26" width="11.00390625" style="0" bestFit="1" customWidth="1"/>
    <col min="28" max="28" width="10.7109375" style="0" bestFit="1" customWidth="1"/>
    <col min="29" max="29" width="4.57421875" style="0" bestFit="1" customWidth="1"/>
    <col min="30" max="30" width="11.00390625" style="0" bestFit="1" customWidth="1"/>
    <col min="32" max="32" width="10.7109375" style="0" bestFit="1" customWidth="1"/>
    <col min="33" max="33" width="4.57421875" style="0" bestFit="1" customWidth="1"/>
    <col min="34" max="34" width="11.00390625" style="0" bestFit="1" customWidth="1"/>
    <col min="36" max="36" width="10.7109375" style="0" bestFit="1" customWidth="1"/>
    <col min="37" max="37" width="4.57421875" style="0" bestFit="1" customWidth="1"/>
    <col min="38" max="38" width="11.00390625" style="0" bestFit="1" customWidth="1"/>
    <col min="40" max="40" width="10.7109375" style="0" bestFit="1" customWidth="1"/>
    <col min="41" max="41" width="4.57421875" style="0" bestFit="1" customWidth="1"/>
    <col min="42" max="42" width="11.00390625" style="0" bestFit="1" customWidth="1"/>
    <col min="44" max="44" width="10.7109375" style="0" bestFit="1" customWidth="1"/>
    <col min="45" max="45" width="4.57421875" style="0" bestFit="1" customWidth="1"/>
    <col min="46" max="46" width="11.00390625" style="0" bestFit="1" customWidth="1"/>
    <col min="48" max="48" width="10.7109375" style="0" bestFit="1" customWidth="1"/>
    <col min="50" max="50" width="11.00390625" style="0" bestFit="1" customWidth="1"/>
  </cols>
  <sheetData>
    <row r="1" spans="1:46" ht="13.5" thickBot="1">
      <c r="A1" s="1" t="s">
        <v>90</v>
      </c>
      <c r="B1" s="2"/>
      <c r="C1" s="2"/>
      <c r="D1" s="2"/>
      <c r="E1" s="2"/>
      <c r="F1" s="2"/>
      <c r="G1" s="2"/>
      <c r="H1" s="2"/>
      <c r="I1" s="261" t="s">
        <v>0</v>
      </c>
      <c r="J1" s="262"/>
      <c r="K1" s="262"/>
      <c r="L1" s="262"/>
      <c r="M1" s="262"/>
      <c r="N1" s="262"/>
      <c r="O1" s="262"/>
      <c r="P1" s="262"/>
      <c r="Q1" s="262"/>
      <c r="R1" s="262"/>
      <c r="S1" s="262"/>
      <c r="T1" s="262"/>
      <c r="U1" s="263"/>
      <c r="Y1" s="2"/>
      <c r="Z1" s="2"/>
      <c r="AA1" s="2"/>
      <c r="AB1" s="2"/>
      <c r="AC1" s="2"/>
      <c r="AD1" s="2"/>
      <c r="AE1" s="2"/>
      <c r="AF1" s="2"/>
      <c r="AG1" s="2"/>
      <c r="AH1" s="2"/>
      <c r="AI1" s="2"/>
      <c r="AJ1" s="2"/>
      <c r="AK1" s="2"/>
      <c r="AL1" s="2"/>
      <c r="AM1" s="2"/>
      <c r="AN1" s="2"/>
      <c r="AO1" s="2"/>
      <c r="AP1" s="2"/>
      <c r="AQ1" s="2"/>
      <c r="AR1" s="2"/>
      <c r="AS1" s="2"/>
      <c r="AT1" s="2"/>
    </row>
    <row r="2" spans="1:46" ht="13.5" thickBot="1">
      <c r="A2" s="2" t="s">
        <v>97</v>
      </c>
      <c r="B2" s="2"/>
      <c r="C2" s="2"/>
      <c r="D2" s="2"/>
      <c r="E2" s="2"/>
      <c r="F2" s="2"/>
      <c r="G2" s="2"/>
      <c r="H2" s="2"/>
      <c r="I2" s="4" t="s">
        <v>2</v>
      </c>
      <c r="J2" s="5" t="s">
        <v>3</v>
      </c>
      <c r="K2" s="6" t="s">
        <v>4</v>
      </c>
      <c r="L2" s="7" t="s">
        <v>5</v>
      </c>
      <c r="M2" s="8" t="s">
        <v>3</v>
      </c>
      <c r="N2" s="8" t="s">
        <v>6</v>
      </c>
      <c r="O2" s="9" t="s">
        <v>7</v>
      </c>
      <c r="P2" s="10" t="s">
        <v>8</v>
      </c>
      <c r="Q2" s="11" t="s">
        <v>9</v>
      </c>
      <c r="R2" s="12" t="s">
        <v>10</v>
      </c>
      <c r="S2" s="12" t="s">
        <v>11</v>
      </c>
      <c r="T2" s="13" t="s">
        <v>12</v>
      </c>
      <c r="U2" s="14" t="s">
        <v>13</v>
      </c>
      <c r="Y2" s="2"/>
      <c r="Z2" s="2"/>
      <c r="AA2" s="2"/>
      <c r="AB2" s="2"/>
      <c r="AC2" s="2"/>
      <c r="AD2" s="2"/>
      <c r="AE2" s="2"/>
      <c r="AF2" s="2"/>
      <c r="AG2" s="2"/>
      <c r="AH2" s="2"/>
      <c r="AI2" s="2"/>
      <c r="AJ2" s="2"/>
      <c r="AK2" s="2"/>
      <c r="AL2" s="2"/>
      <c r="AM2" s="2"/>
      <c r="AN2" s="2"/>
      <c r="AO2" s="2"/>
      <c r="AP2" s="2"/>
      <c r="AQ2" s="2"/>
      <c r="AR2" s="2"/>
      <c r="AS2" s="2"/>
      <c r="AT2" s="2"/>
    </row>
    <row r="3" spans="1:46" ht="12.75">
      <c r="A3" s="2" t="s">
        <v>96</v>
      </c>
      <c r="B3" s="2"/>
      <c r="C3" s="2"/>
      <c r="D3" s="2"/>
      <c r="E3" s="2"/>
      <c r="F3" s="2"/>
      <c r="G3" s="2"/>
      <c r="H3" s="2"/>
      <c r="I3" s="16" t="s">
        <v>18</v>
      </c>
      <c r="J3" s="17">
        <v>6378.1366</v>
      </c>
      <c r="K3" s="18">
        <v>2439.7</v>
      </c>
      <c r="L3" s="18">
        <v>6051.8</v>
      </c>
      <c r="M3" s="18">
        <v>6378.1366</v>
      </c>
      <c r="N3" s="18">
        <v>1738</v>
      </c>
      <c r="O3" s="18">
        <v>3397</v>
      </c>
      <c r="P3" s="19">
        <v>71492</v>
      </c>
      <c r="Q3" s="19">
        <v>60268</v>
      </c>
      <c r="R3" s="18">
        <v>25559</v>
      </c>
      <c r="S3" s="18">
        <v>24764</v>
      </c>
      <c r="T3" s="20">
        <v>1195</v>
      </c>
      <c r="U3" s="21" t="s">
        <v>19</v>
      </c>
      <c r="Y3" s="2"/>
      <c r="Z3" s="2"/>
      <c r="AA3" s="2"/>
      <c r="AB3" s="2"/>
      <c r="AC3" s="2"/>
      <c r="AD3" s="2"/>
      <c r="AE3" s="2"/>
      <c r="AF3" s="2"/>
      <c r="AG3" s="2"/>
      <c r="AH3" s="2"/>
      <c r="AI3" s="2"/>
      <c r="AJ3" s="2"/>
      <c r="AK3" s="2"/>
      <c r="AL3" s="2"/>
      <c r="AM3" s="2"/>
      <c r="AN3" s="2"/>
      <c r="AO3" s="2"/>
      <c r="AP3" s="2"/>
      <c r="AQ3" s="2"/>
      <c r="AR3" s="2"/>
      <c r="AS3" s="2"/>
      <c r="AT3" s="2"/>
    </row>
    <row r="4" spans="1:46" ht="14.25">
      <c r="A4" s="251" t="s">
        <v>98</v>
      </c>
      <c r="B4" s="2"/>
      <c r="C4" s="2"/>
      <c r="D4" s="2"/>
      <c r="E4" s="2"/>
      <c r="F4" s="2"/>
      <c r="G4" s="2"/>
      <c r="H4" s="2"/>
      <c r="I4" s="16" t="s">
        <v>22</v>
      </c>
      <c r="J4" s="17">
        <v>398600.4356</v>
      </c>
      <c r="K4" s="18">
        <f>2.20321*10^4</f>
        <v>22032.1</v>
      </c>
      <c r="L4" s="18">
        <f>3.248585917*10^5</f>
        <v>324858.59170000005</v>
      </c>
      <c r="M4" s="18">
        <v>398600.4356</v>
      </c>
      <c r="N4" s="18">
        <v>4902.80015</v>
      </c>
      <c r="O4" s="18">
        <v>42828.37522</v>
      </c>
      <c r="P4" s="18">
        <f>1.267127626*10^8</f>
        <v>126712762.6</v>
      </c>
      <c r="Q4" s="18">
        <f>3.79405849*10^7</f>
        <v>37940584.9</v>
      </c>
      <c r="R4" s="18">
        <f>5.794549*10^6</f>
        <v>5794549</v>
      </c>
      <c r="S4" s="18">
        <f>6.836527*10^6</f>
        <v>6836527</v>
      </c>
      <c r="T4" s="20">
        <f>9.7178*10^2</f>
        <v>971.7800000000001</v>
      </c>
      <c r="U4" s="21" t="s">
        <v>21</v>
      </c>
      <c r="Y4" s="2"/>
      <c r="Z4" s="2"/>
      <c r="AA4" s="2"/>
      <c r="AB4" s="2"/>
      <c r="AC4" s="2"/>
      <c r="AD4" s="2"/>
      <c r="AE4" s="2"/>
      <c r="AF4" s="2"/>
      <c r="AG4" s="2"/>
      <c r="AH4" s="2"/>
      <c r="AI4" s="2"/>
      <c r="AJ4" s="2"/>
      <c r="AK4" s="2"/>
      <c r="AL4" s="2"/>
      <c r="AM4" s="2"/>
      <c r="AN4" s="2"/>
      <c r="AO4" s="2"/>
      <c r="AP4" s="2"/>
      <c r="AQ4" s="2"/>
      <c r="AR4" s="2"/>
      <c r="AS4" s="2"/>
      <c r="AT4" s="2"/>
    </row>
    <row r="5" spans="2:46" ht="15" thickBot="1">
      <c r="B5" s="2"/>
      <c r="C5" s="2"/>
      <c r="D5" s="2"/>
      <c r="E5" s="2"/>
      <c r="F5" s="2"/>
      <c r="G5" s="2"/>
      <c r="H5" s="2"/>
      <c r="I5" s="16" t="s">
        <v>24</v>
      </c>
      <c r="J5" s="24">
        <f>J4*(3600^2)*(24^2)</f>
        <v>2975536307736576</v>
      </c>
      <c r="K5" s="25">
        <f>K4*(3600^2)*(24^2)</f>
        <v>164468745216000</v>
      </c>
      <c r="L5" s="25">
        <f>L4*(3600^2)*(24^2)</f>
        <v>2425056392696832.5</v>
      </c>
      <c r="M5" s="25">
        <f>M4*(3600^2)*(24^2)</f>
        <v>2975536307736576</v>
      </c>
      <c r="N5" s="25">
        <f>N4*(3600^2)*(24^2)</f>
        <v>36599207007744</v>
      </c>
      <c r="O5" s="25">
        <f aca="true" t="shared" si="0" ref="O5:T5">O4*(3600^2)*(24^2)</f>
        <v>319712107882291.25</v>
      </c>
      <c r="P5" s="25">
        <f t="shared" si="0"/>
        <v>9.45905704298496E+17</v>
      </c>
      <c r="Q5" s="25">
        <f t="shared" si="0"/>
        <v>2.83224948655104E+17</v>
      </c>
      <c r="R5" s="25">
        <f t="shared" si="0"/>
        <v>43256076503040000</v>
      </c>
      <c r="S5" s="25">
        <f t="shared" si="0"/>
        <v>51034400593920000</v>
      </c>
      <c r="T5" s="26">
        <f t="shared" si="0"/>
        <v>7254298828800.001</v>
      </c>
      <c r="U5" s="21" t="s">
        <v>25</v>
      </c>
      <c r="Y5" s="2"/>
      <c r="Z5" s="2"/>
      <c r="AA5" s="2"/>
      <c r="AB5" s="2"/>
      <c r="AC5" s="2"/>
      <c r="AD5" s="2"/>
      <c r="AE5" s="2"/>
      <c r="AF5" s="2"/>
      <c r="AG5" s="2"/>
      <c r="AH5" s="2"/>
      <c r="AI5" s="2"/>
      <c r="AJ5" s="2"/>
      <c r="AK5" s="2"/>
      <c r="AL5" s="2"/>
      <c r="AM5" s="2"/>
      <c r="AN5" s="2"/>
      <c r="AO5" s="2"/>
      <c r="AP5" s="2"/>
      <c r="AQ5" s="2"/>
      <c r="AR5" s="2"/>
      <c r="AS5" s="2"/>
      <c r="AT5" s="2"/>
    </row>
    <row r="6" spans="1:46" ht="12.75">
      <c r="A6" s="252" t="s">
        <v>23</v>
      </c>
      <c r="B6" s="253"/>
      <c r="C6" s="254"/>
      <c r="D6" s="2"/>
      <c r="E6" s="2"/>
      <c r="F6" s="2"/>
      <c r="G6" s="179"/>
      <c r="H6" s="179"/>
      <c r="I6" s="16" t="s">
        <v>26</v>
      </c>
      <c r="J6" s="33">
        <f>360/J9</f>
        <v>0.25068445560702096</v>
      </c>
      <c r="K6" s="34">
        <f aca="true" t="shared" si="1" ref="K6:S6">360/K9</f>
        <v>0.004262848972802598</v>
      </c>
      <c r="L6" s="34">
        <f t="shared" si="1"/>
        <v>-0.0010287223391993825</v>
      </c>
      <c r="M6" s="34">
        <f t="shared" si="1"/>
        <v>0.25068445560702096</v>
      </c>
      <c r="N6" s="34">
        <f t="shared" si="1"/>
        <v>0.00915024928939164</v>
      </c>
      <c r="O6" s="34">
        <f t="shared" si="1"/>
        <v>0.2436749892234736</v>
      </c>
      <c r="P6" s="34">
        <f t="shared" si="1"/>
        <v>0.6045393651853034</v>
      </c>
      <c r="Q6" s="34">
        <f t="shared" si="1"/>
        <v>0.5630516498539444</v>
      </c>
      <c r="R6" s="34">
        <f t="shared" si="1"/>
        <v>-0.34802800372529175</v>
      </c>
      <c r="S6" s="34">
        <f t="shared" si="1"/>
        <v>0.37243947858473003</v>
      </c>
      <c r="T6" s="35">
        <f>360/T9</f>
        <v>-0.0391404996770126</v>
      </c>
      <c r="U6" s="21" t="s">
        <v>27</v>
      </c>
      <c r="Y6" s="2"/>
      <c r="Z6" s="2"/>
      <c r="AA6" s="2"/>
      <c r="AB6" s="2"/>
      <c r="AC6" s="2"/>
      <c r="AD6" s="2"/>
      <c r="AE6" s="2"/>
      <c r="AF6" s="2"/>
      <c r="AG6" s="2"/>
      <c r="AH6" s="2"/>
      <c r="AI6" s="2"/>
      <c r="AJ6" s="2"/>
      <c r="AK6" s="2"/>
      <c r="AL6" s="2"/>
      <c r="AM6" s="2"/>
      <c r="AN6" s="2"/>
      <c r="AO6" s="2"/>
      <c r="AP6" s="2"/>
      <c r="AQ6" s="2"/>
      <c r="AR6" s="2"/>
      <c r="AS6" s="2"/>
      <c r="AT6" s="2"/>
    </row>
    <row r="7" spans="1:46" ht="12.75" customHeight="1">
      <c r="A7" s="255" t="s">
        <v>99</v>
      </c>
      <c r="B7" s="256"/>
      <c r="C7" s="257"/>
      <c r="D7" s="2"/>
      <c r="E7" s="2"/>
      <c r="F7" s="2"/>
      <c r="G7" s="178"/>
      <c r="H7" s="178"/>
      <c r="I7" s="16" t="s">
        <v>28</v>
      </c>
      <c r="J7" s="24">
        <f>0.0010826359</f>
        <v>0.0010826359</v>
      </c>
      <c r="K7" s="36"/>
      <c r="L7" s="25">
        <f>0.027*10^-3</f>
        <v>2.7E-05</v>
      </c>
      <c r="M7" s="25">
        <f>0.0010826359</f>
        <v>0.0010826359</v>
      </c>
      <c r="N7" s="36">
        <f>0.2027*10^-3</f>
        <v>0.0002027</v>
      </c>
      <c r="O7" s="25">
        <f>1.964*10^-3</f>
        <v>0.001964</v>
      </c>
      <c r="P7" s="25">
        <f>14.736*10^-3</f>
        <v>0.014736</v>
      </c>
      <c r="Q7" s="25">
        <f>16.298*10^-3</f>
        <v>0.016298</v>
      </c>
      <c r="R7" s="25">
        <f>12*10^-3</f>
        <v>0.012</v>
      </c>
      <c r="S7" s="25">
        <f>3.411*10^-3</f>
        <v>0.003411</v>
      </c>
      <c r="T7" s="37"/>
      <c r="U7" s="38"/>
      <c r="Y7" s="2"/>
      <c r="Z7" s="2"/>
      <c r="AA7" s="2"/>
      <c r="AB7" s="2"/>
      <c r="AC7" s="2"/>
      <c r="AD7" s="2"/>
      <c r="AE7" s="2"/>
      <c r="AF7" s="2"/>
      <c r="AG7" s="2"/>
      <c r="AH7" s="2"/>
      <c r="AI7" s="2"/>
      <c r="AJ7" s="2"/>
      <c r="AK7" s="2"/>
      <c r="AL7" s="2"/>
      <c r="AM7" s="2"/>
      <c r="AN7" s="2"/>
      <c r="AO7" s="2"/>
      <c r="AP7" s="2"/>
      <c r="AQ7" s="2"/>
      <c r="AR7" s="2"/>
      <c r="AS7" s="2"/>
      <c r="AT7" s="2"/>
    </row>
    <row r="8" spans="1:46" ht="15" customHeight="1" thickBot="1">
      <c r="A8" s="258"/>
      <c r="B8" s="259"/>
      <c r="C8" s="260"/>
      <c r="D8" s="2"/>
      <c r="E8" s="2"/>
      <c r="F8" s="2"/>
      <c r="G8" s="178"/>
      <c r="H8" s="178"/>
      <c r="I8" s="16" t="s">
        <v>29</v>
      </c>
      <c r="J8" s="41">
        <f>-1.5*J7*J3^2*SQRT(J5)*deg</f>
        <v>-206474572244494.9</v>
      </c>
      <c r="K8" s="42"/>
      <c r="L8" s="43">
        <f aca="true" t="shared" si="2" ref="L8:S8">-1.5*L7*L3^2*SQRT(L5)*deg</f>
        <v>-4185118031492.216</v>
      </c>
      <c r="M8" s="43">
        <f t="shared" si="2"/>
        <v>-206474572244494.9</v>
      </c>
      <c r="N8" s="43">
        <f t="shared" si="2"/>
        <v>-318348657109.2293</v>
      </c>
      <c r="O8" s="43">
        <f t="shared" si="2"/>
        <v>-34827797492585.027</v>
      </c>
      <c r="P8" s="43">
        <f t="shared" si="2"/>
        <v>-6.295530320959735E+18</v>
      </c>
      <c r="Q8" s="43">
        <f t="shared" si="2"/>
        <v>-2.7076187787708564E+18</v>
      </c>
      <c r="R8" s="43">
        <f t="shared" si="2"/>
        <v>-1.4012202849068656E+17</v>
      </c>
      <c r="S8" s="43">
        <f t="shared" si="2"/>
        <v>-40613340355405576</v>
      </c>
      <c r="T8" s="44"/>
      <c r="U8" s="21" t="s">
        <v>30</v>
      </c>
      <c r="Y8" s="2"/>
      <c r="Z8" s="2"/>
      <c r="AA8" s="2"/>
      <c r="AB8" s="2"/>
      <c r="AC8" s="2"/>
      <c r="AD8" s="2"/>
      <c r="AE8" s="2"/>
      <c r="AF8" s="2"/>
      <c r="AG8" s="2"/>
      <c r="AH8" s="2"/>
      <c r="AI8" s="2"/>
      <c r="AJ8" s="2"/>
      <c r="AK8" s="2"/>
      <c r="AL8" s="2"/>
      <c r="AM8" s="2"/>
      <c r="AN8" s="2"/>
      <c r="AO8" s="2"/>
      <c r="AP8" s="2"/>
      <c r="AQ8" s="2"/>
      <c r="AR8" s="2"/>
      <c r="AS8" s="2"/>
      <c r="AT8" s="2"/>
    </row>
    <row r="9" spans="1:46" ht="13.5" thickBot="1">
      <c r="A9" s="2"/>
      <c r="B9" s="2"/>
      <c r="C9" s="2"/>
      <c r="D9" s="2"/>
      <c r="E9" s="2"/>
      <c r="F9" s="2"/>
      <c r="G9" s="178"/>
      <c r="H9" s="178"/>
      <c r="I9" s="73" t="s">
        <v>31</v>
      </c>
      <c r="J9" s="74">
        <f>86164.098/60</f>
        <v>1436.0683</v>
      </c>
      <c r="K9" s="75">
        <f>58.646225*24*60</f>
        <v>84450.564</v>
      </c>
      <c r="L9" s="75">
        <f>-243.0199*24*60</f>
        <v>-349948.656</v>
      </c>
      <c r="M9" s="76">
        <f>86164.098/60</f>
        <v>1436.0683</v>
      </c>
      <c r="N9" s="77">
        <v>39343.1904</v>
      </c>
      <c r="O9" s="75">
        <f>1.02595675*24*60</f>
        <v>1477.37772</v>
      </c>
      <c r="P9" s="75">
        <f>0.413538*60*24</f>
        <v>595.49472</v>
      </c>
      <c r="Q9" s="75">
        <f>0.444009*24*60</f>
        <v>639.37296</v>
      </c>
      <c r="R9" s="75">
        <f>-0.718333*24*60</f>
        <v>-1034.39952</v>
      </c>
      <c r="S9" s="75">
        <f>0.67125*24*60</f>
        <v>966.5999999999999</v>
      </c>
      <c r="T9" s="78">
        <f>-6.387246*24*60</f>
        <v>-9197.63424</v>
      </c>
      <c r="U9" s="22" t="s">
        <v>17</v>
      </c>
      <c r="Y9" s="2"/>
      <c r="Z9" s="2"/>
      <c r="AA9" s="2"/>
      <c r="AB9" s="2"/>
      <c r="AC9" s="2"/>
      <c r="AD9" s="2"/>
      <c r="AE9" s="2"/>
      <c r="AF9" s="2"/>
      <c r="AG9" s="2"/>
      <c r="AH9" s="2"/>
      <c r="AI9" s="2"/>
      <c r="AJ9" s="2"/>
      <c r="AK9" s="2"/>
      <c r="AL9" s="2"/>
      <c r="AM9" s="2"/>
      <c r="AN9" s="2"/>
      <c r="AO9" s="2"/>
      <c r="AP9" s="2"/>
      <c r="AQ9" s="2"/>
      <c r="AR9" s="2"/>
      <c r="AS9" s="2"/>
      <c r="AT9" s="2"/>
    </row>
    <row r="10" spans="1:46" ht="12.75">
      <c r="A10" s="273" t="s">
        <v>45</v>
      </c>
      <c r="B10" s="274" t="s">
        <v>100</v>
      </c>
      <c r="C10" s="275" t="s">
        <v>13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ht="12.75">
      <c r="A11" s="276" t="s">
        <v>91</v>
      </c>
      <c r="B11" s="271">
        <v>900</v>
      </c>
      <c r="C11" s="277" t="s">
        <v>19</v>
      </c>
      <c r="D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ht="15" customHeight="1">
      <c r="A12" s="276" t="s">
        <v>92</v>
      </c>
      <c r="B12" s="272">
        <v>47</v>
      </c>
      <c r="C12" s="278" t="s">
        <v>15</v>
      </c>
      <c r="D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ht="15" customHeight="1">
      <c r="A13" s="279" t="s">
        <v>93</v>
      </c>
      <c r="B13" s="272">
        <v>5</v>
      </c>
      <c r="C13" s="280" t="s">
        <v>15</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15" customHeight="1" thickBot="1">
      <c r="A14" s="276" t="s">
        <v>94</v>
      </c>
      <c r="B14" s="272">
        <v>120</v>
      </c>
      <c r="C14" s="280" t="s">
        <v>47</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0" ht="15" customHeight="1" thickBot="1">
      <c r="A15" s="289" t="s">
        <v>95</v>
      </c>
      <c r="B15" s="281">
        <v>120</v>
      </c>
      <c r="C15" s="282" t="s">
        <v>47</v>
      </c>
      <c r="D15" s="2"/>
      <c r="E15" s="2"/>
      <c r="F15" s="2"/>
      <c r="G15" s="2"/>
      <c r="H15" s="2"/>
      <c r="I15" s="2"/>
      <c r="J15" s="2"/>
      <c r="K15" s="2"/>
      <c r="L15" s="236">
        <f>Computation!D43</f>
        <v>0</v>
      </c>
      <c r="M15" s="237" t="s">
        <v>85</v>
      </c>
      <c r="N15" s="238"/>
      <c r="O15" s="110"/>
      <c r="P15" s="236">
        <f>Computation!D62</f>
        <v>8</v>
      </c>
      <c r="Q15" s="237" t="s">
        <v>85</v>
      </c>
      <c r="R15" s="238"/>
      <c r="S15" s="110"/>
      <c r="T15" s="236">
        <f>Computation!D81</f>
        <v>16</v>
      </c>
      <c r="U15" s="237" t="s">
        <v>85</v>
      </c>
      <c r="V15" s="238"/>
      <c r="W15" s="110"/>
      <c r="X15" s="236">
        <f>Computation!D100</f>
        <v>24</v>
      </c>
      <c r="Y15" s="237" t="s">
        <v>85</v>
      </c>
      <c r="Z15" s="238"/>
      <c r="AA15" s="110"/>
      <c r="AB15" s="236">
        <f>Computation!D119</f>
        <v>32</v>
      </c>
      <c r="AC15" s="237" t="s">
        <v>85</v>
      </c>
      <c r="AD15" s="238"/>
      <c r="AE15" s="110"/>
      <c r="AF15" s="236">
        <f>Computation!D138</f>
        <v>40</v>
      </c>
      <c r="AG15" s="237" t="s">
        <v>85</v>
      </c>
      <c r="AH15" s="238"/>
      <c r="AI15" s="110"/>
      <c r="AJ15" s="223">
        <f>Computation!D157</f>
        <v>48</v>
      </c>
      <c r="AK15" s="237" t="s">
        <v>85</v>
      </c>
      <c r="AL15" s="225"/>
      <c r="AM15" s="111"/>
      <c r="AN15" s="223">
        <f>Computation!D176</f>
        <v>56</v>
      </c>
      <c r="AO15" s="237" t="s">
        <v>85</v>
      </c>
      <c r="AP15" s="225"/>
      <c r="AQ15" s="111"/>
      <c r="AR15" s="223">
        <f>Computation!D195</f>
        <v>64</v>
      </c>
      <c r="AS15" s="237" t="s">
        <v>85</v>
      </c>
      <c r="AT15" s="225"/>
      <c r="AV15" s="223">
        <f>Computation!D214</f>
        <v>72</v>
      </c>
      <c r="AW15" s="237" t="s">
        <v>85</v>
      </c>
      <c r="AX15" s="225"/>
    </row>
    <row r="16" spans="1:50" ht="15" customHeight="1" thickBot="1">
      <c r="A16" s="286"/>
      <c r="B16" s="287"/>
      <c r="C16" s="288"/>
      <c r="D16" s="2"/>
      <c r="E16" s="2"/>
      <c r="F16" s="2"/>
      <c r="G16" s="2"/>
      <c r="H16" s="2"/>
      <c r="I16" s="2"/>
      <c r="J16" s="2"/>
      <c r="K16" s="2"/>
      <c r="L16" s="283"/>
      <c r="M16" s="284"/>
      <c r="N16" s="285"/>
      <c r="O16" s="110"/>
      <c r="P16" s="283"/>
      <c r="Q16" s="284"/>
      <c r="R16" s="285"/>
      <c r="S16" s="110"/>
      <c r="T16" s="283"/>
      <c r="U16" s="284"/>
      <c r="V16" s="285"/>
      <c r="W16" s="110"/>
      <c r="X16" s="283"/>
      <c r="Y16" s="284"/>
      <c r="Z16" s="285"/>
      <c r="AA16" s="110"/>
      <c r="AB16" s="283"/>
      <c r="AC16" s="284"/>
      <c r="AD16" s="285"/>
      <c r="AE16" s="110"/>
      <c r="AF16" s="283"/>
      <c r="AG16" s="284"/>
      <c r="AH16" s="285"/>
      <c r="AI16" s="110"/>
      <c r="AJ16" s="230"/>
      <c r="AK16" s="284"/>
      <c r="AL16" s="233"/>
      <c r="AM16" s="111"/>
      <c r="AN16" s="230"/>
      <c r="AO16" s="284"/>
      <c r="AP16" s="233"/>
      <c r="AQ16" s="111"/>
      <c r="AR16" s="230"/>
      <c r="AS16" s="284"/>
      <c r="AT16" s="233"/>
      <c r="AV16" s="230"/>
      <c r="AW16" s="284"/>
      <c r="AX16" s="233"/>
    </row>
    <row r="17" spans="1:50" ht="12.75">
      <c r="A17" s="292" t="s">
        <v>88</v>
      </c>
      <c r="B17" s="290">
        <v>0</v>
      </c>
      <c r="C17" s="291" t="s">
        <v>46</v>
      </c>
      <c r="D17" s="2"/>
      <c r="E17" s="2"/>
      <c r="F17" s="2"/>
      <c r="G17" s="2"/>
      <c r="H17" s="2"/>
      <c r="I17" s="2"/>
      <c r="J17" s="2"/>
      <c r="K17" s="2"/>
      <c r="L17" s="113" t="s">
        <v>57</v>
      </c>
      <c r="M17" s="114" t="s">
        <v>56</v>
      </c>
      <c r="N17" s="115" t="s">
        <v>73</v>
      </c>
      <c r="O17" s="110"/>
      <c r="P17" s="113" t="s">
        <v>57</v>
      </c>
      <c r="Q17" s="114" t="s">
        <v>56</v>
      </c>
      <c r="R17" s="115" t="s">
        <v>73</v>
      </c>
      <c r="S17" s="110"/>
      <c r="T17" s="113" t="s">
        <v>57</v>
      </c>
      <c r="U17" s="114" t="s">
        <v>56</v>
      </c>
      <c r="V17" s="115" t="s">
        <v>73</v>
      </c>
      <c r="W17" s="110"/>
      <c r="X17" s="113" t="s">
        <v>57</v>
      </c>
      <c r="Y17" s="114" t="s">
        <v>56</v>
      </c>
      <c r="Z17" s="115" t="s">
        <v>73</v>
      </c>
      <c r="AA17" s="110"/>
      <c r="AB17" s="113" t="s">
        <v>57</v>
      </c>
      <c r="AC17" s="114" t="s">
        <v>56</v>
      </c>
      <c r="AD17" s="115" t="s">
        <v>73</v>
      </c>
      <c r="AE17" s="110"/>
      <c r="AF17" s="113" t="s">
        <v>57</v>
      </c>
      <c r="AG17" s="114" t="s">
        <v>56</v>
      </c>
      <c r="AH17" s="115" t="s">
        <v>73</v>
      </c>
      <c r="AI17" s="110"/>
      <c r="AJ17" s="113" t="s">
        <v>57</v>
      </c>
      <c r="AK17" s="114" t="s">
        <v>56</v>
      </c>
      <c r="AL17" s="115" t="s">
        <v>73</v>
      </c>
      <c r="AM17" s="111"/>
      <c r="AN17" s="113" t="s">
        <v>57</v>
      </c>
      <c r="AO17" s="114" t="s">
        <v>56</v>
      </c>
      <c r="AP17" s="115" t="s">
        <v>73</v>
      </c>
      <c r="AQ17" s="111"/>
      <c r="AR17" s="113" t="s">
        <v>57</v>
      </c>
      <c r="AS17" s="114" t="s">
        <v>56</v>
      </c>
      <c r="AT17" s="115" t="s">
        <v>73</v>
      </c>
      <c r="AV17" s="113" t="s">
        <v>57</v>
      </c>
      <c r="AW17" s="114" t="s">
        <v>56</v>
      </c>
      <c r="AX17" s="115" t="s">
        <v>73</v>
      </c>
    </row>
    <row r="18" spans="1:50" ht="15" customHeight="1" thickBot="1">
      <c r="A18" s="293" t="s">
        <v>87</v>
      </c>
      <c r="B18" s="281">
        <v>8</v>
      </c>
      <c r="C18" s="282" t="s">
        <v>15</v>
      </c>
      <c r="D18" s="2"/>
      <c r="E18" s="2"/>
      <c r="F18" s="2"/>
      <c r="G18" s="2"/>
      <c r="H18" s="2"/>
      <c r="I18" s="2"/>
      <c r="J18" s="2"/>
      <c r="K18" s="2"/>
      <c r="L18" s="107">
        <v>0</v>
      </c>
      <c r="M18" s="108">
        <v>0</v>
      </c>
      <c r="N18" s="240">
        <f aca="true" t="shared" si="3" ref="N18:N49">IF(M18=1,($L$15+($B$18/2)),$L$15)</f>
        <v>0</v>
      </c>
      <c r="O18" s="2"/>
      <c r="P18" s="107">
        <v>0</v>
      </c>
      <c r="Q18" s="106">
        <v>0</v>
      </c>
      <c r="R18" s="241">
        <f aca="true" t="shared" si="4" ref="R18:R49">IF(Q18=1,($P$15+$B$18/2),$P$15)</f>
        <v>8</v>
      </c>
      <c r="S18" s="2"/>
      <c r="T18" s="107">
        <v>0</v>
      </c>
      <c r="U18" s="108">
        <v>0</v>
      </c>
      <c r="V18" s="239">
        <f aca="true" t="shared" si="5" ref="V18:V49">IF(U18=1,($T$15+$B$18/2),$T$15)</f>
        <v>16</v>
      </c>
      <c r="W18" s="2"/>
      <c r="X18" s="107">
        <v>0</v>
      </c>
      <c r="Y18" s="109">
        <v>0</v>
      </c>
      <c r="Z18" s="239">
        <f aca="true" t="shared" si="6" ref="Z18:Z49">IF(Y18=1,($X$15+$B$18/2),$X$15)</f>
        <v>24</v>
      </c>
      <c r="AA18" s="2"/>
      <c r="AB18" s="107">
        <v>0</v>
      </c>
      <c r="AC18" s="108">
        <v>0</v>
      </c>
      <c r="AD18" s="239">
        <f aca="true" t="shared" si="7" ref="AD18:AD49">IF(AC18=1,($AB$15+$B$18/2),$AB$15)</f>
        <v>32</v>
      </c>
      <c r="AE18" s="2"/>
      <c r="AF18" s="107">
        <v>0</v>
      </c>
      <c r="AG18" s="108">
        <v>0</v>
      </c>
      <c r="AH18" s="240">
        <f aca="true" t="shared" si="8" ref="AH18:AH49">IF(AG18=1,($AF$15+$B$18/2),$AF$15)</f>
        <v>40</v>
      </c>
      <c r="AI18" s="2"/>
      <c r="AJ18" s="107">
        <v>0</v>
      </c>
      <c r="AK18" s="108">
        <v>0</v>
      </c>
      <c r="AL18" s="239">
        <f aca="true" t="shared" si="9" ref="AL18:AL49">IF(AK18=1,($AJ$15+$B$18/2),$AJ$15)</f>
        <v>48</v>
      </c>
      <c r="AM18" s="111"/>
      <c r="AN18" s="107">
        <v>0</v>
      </c>
      <c r="AO18" s="108">
        <v>0</v>
      </c>
      <c r="AP18" s="239">
        <f aca="true" t="shared" si="10" ref="AP18:AP49">IF(AO18=1,($AN$15+$B$18/2),$AN$15)</f>
        <v>56</v>
      </c>
      <c r="AQ18" s="111"/>
      <c r="AR18" s="107">
        <v>0</v>
      </c>
      <c r="AS18" s="108">
        <v>0</v>
      </c>
      <c r="AT18" s="239">
        <f aca="true" t="shared" si="11" ref="AT18:AT49">IF(AS18=1,($AR$15+$B$18/2),$AR$15)</f>
        <v>64</v>
      </c>
      <c r="AV18" s="107">
        <v>0</v>
      </c>
      <c r="AW18" s="108">
        <v>0</v>
      </c>
      <c r="AX18" s="239">
        <f aca="true" t="shared" si="12" ref="AX18:AX49">IF(AW18=1,($AV$15+$B$18/2),$AV$15)</f>
        <v>72</v>
      </c>
    </row>
    <row r="19" spans="1:50" ht="12.75" customHeight="1">
      <c r="A19" s="270" t="s">
        <v>89</v>
      </c>
      <c r="B19" s="270"/>
      <c r="C19" s="270"/>
      <c r="D19" s="2"/>
      <c r="E19" s="2"/>
      <c r="F19" s="2"/>
      <c r="G19" s="2"/>
      <c r="H19" s="2"/>
      <c r="I19" s="2"/>
      <c r="J19" s="2"/>
      <c r="K19" s="2"/>
      <c r="L19" s="107">
        <f>L18</f>
        <v>0</v>
      </c>
      <c r="M19" s="108">
        <f>IF(Computation!F45=0,0,1)</f>
        <v>0</v>
      </c>
      <c r="N19" s="240">
        <f t="shared" si="3"/>
        <v>0</v>
      </c>
      <c r="O19" s="2"/>
      <c r="P19" s="107">
        <f>P18</f>
        <v>0</v>
      </c>
      <c r="Q19" s="106">
        <f>IF(Computation!F64=0,0,1)</f>
        <v>0</v>
      </c>
      <c r="R19" s="242">
        <f t="shared" si="4"/>
        <v>8</v>
      </c>
      <c r="S19" s="2"/>
      <c r="T19" s="107">
        <f>T18</f>
        <v>0</v>
      </c>
      <c r="U19" s="108">
        <f>IF(Computation!F83=0,0,1)</f>
        <v>0</v>
      </c>
      <c r="V19" s="240">
        <f t="shared" si="5"/>
        <v>16</v>
      </c>
      <c r="W19" s="2"/>
      <c r="X19" s="107">
        <f>X18</f>
        <v>0</v>
      </c>
      <c r="Y19" s="109">
        <f>IF(Computation!F102=0,0,1)</f>
        <v>0</v>
      </c>
      <c r="Z19" s="240">
        <f t="shared" si="6"/>
        <v>24</v>
      </c>
      <c r="AA19" s="2"/>
      <c r="AB19" s="107">
        <f>AB18</f>
        <v>0</v>
      </c>
      <c r="AC19" s="108">
        <f>IF(Computation!F121=0,0,1)</f>
        <v>0</v>
      </c>
      <c r="AD19" s="240">
        <f t="shared" si="7"/>
        <v>32</v>
      </c>
      <c r="AE19" s="2"/>
      <c r="AF19" s="107">
        <f>AF18</f>
        <v>0</v>
      </c>
      <c r="AG19" s="108">
        <f>IF(Computation!F140=0,0,1)</f>
        <v>0</v>
      </c>
      <c r="AH19" s="240">
        <f t="shared" si="8"/>
        <v>40</v>
      </c>
      <c r="AI19" s="2"/>
      <c r="AJ19" s="107">
        <f>AJ18</f>
        <v>0</v>
      </c>
      <c r="AK19" s="108">
        <f>IF(Computation!F159=0,0,1)</f>
        <v>0</v>
      </c>
      <c r="AL19" s="240">
        <f t="shared" si="9"/>
        <v>48</v>
      </c>
      <c r="AM19" s="111"/>
      <c r="AN19" s="107">
        <f>AN18</f>
        <v>0</v>
      </c>
      <c r="AO19" s="108">
        <f>IF(Computation!F178=0,0,1)</f>
        <v>0</v>
      </c>
      <c r="AP19" s="240">
        <f t="shared" si="10"/>
        <v>56</v>
      </c>
      <c r="AQ19" s="111"/>
      <c r="AR19" s="107">
        <f>AR18</f>
        <v>0</v>
      </c>
      <c r="AS19" s="108">
        <f>IF(Computation!F197=0,0,1)</f>
        <v>0</v>
      </c>
      <c r="AT19" s="240">
        <f t="shared" si="11"/>
        <v>64</v>
      </c>
      <c r="AV19" s="107">
        <f>AV18</f>
        <v>0</v>
      </c>
      <c r="AW19" s="108">
        <f>IF(Computation!F216=0,0,1)</f>
        <v>0</v>
      </c>
      <c r="AX19" s="240">
        <f t="shared" si="12"/>
        <v>72</v>
      </c>
    </row>
    <row r="20" spans="1:50" ht="12.75">
      <c r="A20" s="270"/>
      <c r="B20" s="270"/>
      <c r="C20" s="270"/>
      <c r="D20" s="2"/>
      <c r="E20" s="2"/>
      <c r="F20" s="2"/>
      <c r="G20" s="2"/>
      <c r="H20" s="2"/>
      <c r="I20" s="2"/>
      <c r="J20" s="2"/>
      <c r="K20" s="2"/>
      <c r="L20" s="107">
        <f>L19+Computation!F45</f>
        <v>0</v>
      </c>
      <c r="M20" s="108">
        <f>M19</f>
        <v>0</v>
      </c>
      <c r="N20" s="240">
        <f t="shared" si="3"/>
        <v>0</v>
      </c>
      <c r="O20" s="2"/>
      <c r="P20" s="107">
        <f>P19+Computation!F64</f>
        <v>0</v>
      </c>
      <c r="Q20" s="106">
        <f>Q19</f>
        <v>0</v>
      </c>
      <c r="R20" s="242">
        <f t="shared" si="4"/>
        <v>8</v>
      </c>
      <c r="S20" s="2"/>
      <c r="T20" s="107">
        <f>T19+Computation!F83</f>
        <v>0</v>
      </c>
      <c r="U20" s="108">
        <f>U19</f>
        <v>0</v>
      </c>
      <c r="V20" s="240">
        <f t="shared" si="5"/>
        <v>16</v>
      </c>
      <c r="W20" s="2"/>
      <c r="X20" s="107">
        <f>X19+Computation!F102</f>
        <v>0</v>
      </c>
      <c r="Y20" s="109">
        <f>Y19</f>
        <v>0</v>
      </c>
      <c r="Z20" s="240">
        <f t="shared" si="6"/>
        <v>24</v>
      </c>
      <c r="AA20" s="2"/>
      <c r="AB20" s="107">
        <f>AB19+Computation!F121</f>
        <v>0</v>
      </c>
      <c r="AC20" s="108">
        <f>AC19</f>
        <v>0</v>
      </c>
      <c r="AD20" s="240">
        <f t="shared" si="7"/>
        <v>32</v>
      </c>
      <c r="AE20" s="2"/>
      <c r="AF20" s="107">
        <f>AF19+Computation!F140</f>
        <v>0</v>
      </c>
      <c r="AG20" s="108">
        <f>AG19</f>
        <v>0</v>
      </c>
      <c r="AH20" s="240">
        <f t="shared" si="8"/>
        <v>40</v>
      </c>
      <c r="AI20" s="2"/>
      <c r="AJ20" s="107">
        <f>AJ19+Computation!F159</f>
        <v>0</v>
      </c>
      <c r="AK20" s="108">
        <f>AK19</f>
        <v>0</v>
      </c>
      <c r="AL20" s="240">
        <f t="shared" si="9"/>
        <v>48</v>
      </c>
      <c r="AM20" s="111"/>
      <c r="AN20" s="107">
        <f>AN19+Computation!F178</f>
        <v>0</v>
      </c>
      <c r="AO20" s="108">
        <f>AO19</f>
        <v>0</v>
      </c>
      <c r="AP20" s="240">
        <f t="shared" si="10"/>
        <v>56</v>
      </c>
      <c r="AQ20" s="111"/>
      <c r="AR20" s="107">
        <f>AR19+Computation!F197</f>
        <v>0</v>
      </c>
      <c r="AS20" s="108">
        <f>AS19</f>
        <v>0</v>
      </c>
      <c r="AT20" s="240">
        <f t="shared" si="11"/>
        <v>64</v>
      </c>
      <c r="AV20" s="107">
        <f>AV19+Computation!F216</f>
        <v>0</v>
      </c>
      <c r="AW20" s="108">
        <f>AW19</f>
        <v>0</v>
      </c>
      <c r="AX20" s="240">
        <f t="shared" si="12"/>
        <v>72</v>
      </c>
    </row>
    <row r="21" spans="1:50" ht="12.75">
      <c r="A21" s="270"/>
      <c r="B21" s="270"/>
      <c r="C21" s="270"/>
      <c r="D21" s="2"/>
      <c r="E21" s="2"/>
      <c r="F21" s="2"/>
      <c r="G21" s="2"/>
      <c r="H21" s="2"/>
      <c r="I21" s="2"/>
      <c r="J21" s="2"/>
      <c r="K21" s="101"/>
      <c r="L21" s="107">
        <f>L20</f>
        <v>0</v>
      </c>
      <c r="M21" s="108">
        <v>0</v>
      </c>
      <c r="N21" s="240">
        <f t="shared" si="3"/>
        <v>0</v>
      </c>
      <c r="O21" s="2"/>
      <c r="P21" s="107">
        <f>P20</f>
        <v>0</v>
      </c>
      <c r="Q21" s="106">
        <v>0</v>
      </c>
      <c r="R21" s="242">
        <f t="shared" si="4"/>
        <v>8</v>
      </c>
      <c r="S21" s="2"/>
      <c r="T21" s="107">
        <f>T20</f>
        <v>0</v>
      </c>
      <c r="U21" s="108">
        <v>0</v>
      </c>
      <c r="V21" s="240">
        <f t="shared" si="5"/>
        <v>16</v>
      </c>
      <c r="W21" s="2"/>
      <c r="X21" s="107">
        <f>X20</f>
        <v>0</v>
      </c>
      <c r="Y21" s="109">
        <v>0</v>
      </c>
      <c r="Z21" s="240">
        <f t="shared" si="6"/>
        <v>24</v>
      </c>
      <c r="AA21" s="2"/>
      <c r="AB21" s="107">
        <f>AB20</f>
        <v>0</v>
      </c>
      <c r="AC21" s="108">
        <v>0</v>
      </c>
      <c r="AD21" s="240">
        <f t="shared" si="7"/>
        <v>32</v>
      </c>
      <c r="AE21" s="2"/>
      <c r="AF21" s="107">
        <f>AF20</f>
        <v>0</v>
      </c>
      <c r="AG21" s="108">
        <v>0</v>
      </c>
      <c r="AH21" s="240">
        <f t="shared" si="8"/>
        <v>40</v>
      </c>
      <c r="AI21" s="2"/>
      <c r="AJ21" s="107">
        <f>AJ20</f>
        <v>0</v>
      </c>
      <c r="AK21" s="108">
        <v>0</v>
      </c>
      <c r="AL21" s="240">
        <f t="shared" si="9"/>
        <v>48</v>
      </c>
      <c r="AM21" s="111"/>
      <c r="AN21" s="107">
        <f>AN20</f>
        <v>0</v>
      </c>
      <c r="AO21" s="108">
        <v>0</v>
      </c>
      <c r="AP21" s="240">
        <f t="shared" si="10"/>
        <v>56</v>
      </c>
      <c r="AQ21" s="111"/>
      <c r="AR21" s="107">
        <f>AR20</f>
        <v>0</v>
      </c>
      <c r="AS21" s="108">
        <v>0</v>
      </c>
      <c r="AT21" s="240">
        <f t="shared" si="11"/>
        <v>64</v>
      </c>
      <c r="AV21" s="107">
        <f>AV20</f>
        <v>0</v>
      </c>
      <c r="AW21" s="108">
        <v>0</v>
      </c>
      <c r="AX21" s="240">
        <f t="shared" si="12"/>
        <v>72</v>
      </c>
    </row>
    <row r="22" spans="1:50" ht="12.75">
      <c r="A22" s="2"/>
      <c r="B22" s="2"/>
      <c r="C22" s="2"/>
      <c r="D22" s="2"/>
      <c r="E22" s="2"/>
      <c r="F22" s="2"/>
      <c r="G22" s="2"/>
      <c r="H22" s="2"/>
      <c r="I22" s="2"/>
      <c r="J22" s="2"/>
      <c r="K22" s="101"/>
      <c r="L22" s="194">
        <f>Computation!B46</f>
        <v>102.98880929724255</v>
      </c>
      <c r="M22" s="195">
        <v>0</v>
      </c>
      <c r="N22" s="246">
        <f t="shared" si="3"/>
        <v>0</v>
      </c>
      <c r="O22" s="2"/>
      <c r="P22" s="194">
        <f>Computation!B65</f>
        <v>102.98880929724255</v>
      </c>
      <c r="Q22" s="197">
        <v>0</v>
      </c>
      <c r="R22" s="247">
        <f t="shared" si="4"/>
        <v>8</v>
      </c>
      <c r="S22" s="2"/>
      <c r="T22" s="194">
        <f>Computation!B84</f>
        <v>102.98880929724255</v>
      </c>
      <c r="U22" s="195">
        <v>0</v>
      </c>
      <c r="V22" s="246">
        <f t="shared" si="5"/>
        <v>16</v>
      </c>
      <c r="W22" s="2"/>
      <c r="X22" s="194">
        <f>Computation!B103</f>
        <v>102.98880929724255</v>
      </c>
      <c r="Y22" s="211">
        <v>0</v>
      </c>
      <c r="Z22" s="246">
        <f t="shared" si="6"/>
        <v>24</v>
      </c>
      <c r="AA22" s="2"/>
      <c r="AB22" s="194">
        <f>Computation!B122</f>
        <v>102.98880929724255</v>
      </c>
      <c r="AC22" s="195">
        <v>0</v>
      </c>
      <c r="AD22" s="246">
        <f t="shared" si="7"/>
        <v>32</v>
      </c>
      <c r="AE22" s="2"/>
      <c r="AF22" s="194">
        <f>Computation!B141</f>
        <v>102.98880929724255</v>
      </c>
      <c r="AG22" s="195">
        <v>0</v>
      </c>
      <c r="AH22" s="246">
        <f t="shared" si="8"/>
        <v>40</v>
      </c>
      <c r="AI22" s="2"/>
      <c r="AJ22" s="194">
        <f>Computation!B160</f>
        <v>102.98880929724255</v>
      </c>
      <c r="AK22" s="195">
        <v>0</v>
      </c>
      <c r="AL22" s="246">
        <f t="shared" si="9"/>
        <v>48</v>
      </c>
      <c r="AM22" s="111"/>
      <c r="AN22" s="194">
        <f>Computation!B179</f>
        <v>102.98880929724255</v>
      </c>
      <c r="AO22" s="195">
        <v>0</v>
      </c>
      <c r="AP22" s="246">
        <f t="shared" si="10"/>
        <v>56</v>
      </c>
      <c r="AQ22" s="111"/>
      <c r="AR22" s="194">
        <f>Computation!B198</f>
        <v>102.98880929724255</v>
      </c>
      <c r="AS22" s="195">
        <v>0</v>
      </c>
      <c r="AT22" s="246">
        <f t="shared" si="11"/>
        <v>64</v>
      </c>
      <c r="AV22" s="194">
        <f>Computation!B217</f>
        <v>102.98880929724255</v>
      </c>
      <c r="AW22" s="195">
        <v>0</v>
      </c>
      <c r="AX22" s="246">
        <f t="shared" si="12"/>
        <v>72</v>
      </c>
    </row>
    <row r="23" spans="1:50" ht="12.75">
      <c r="A23" s="2"/>
      <c r="B23" s="2"/>
      <c r="C23" s="2"/>
      <c r="D23" s="2"/>
      <c r="E23" s="2"/>
      <c r="F23" s="2"/>
      <c r="G23" s="2"/>
      <c r="H23" s="2"/>
      <c r="I23" s="2"/>
      <c r="J23" s="2"/>
      <c r="K23" s="101"/>
      <c r="L23" s="194">
        <f>L22</f>
        <v>102.98880929724255</v>
      </c>
      <c r="M23" s="195">
        <f>IF(Computation!F46=0,0,1)</f>
        <v>0</v>
      </c>
      <c r="N23" s="246">
        <f t="shared" si="3"/>
        <v>0</v>
      </c>
      <c r="O23" s="2"/>
      <c r="P23" s="194">
        <f>P22</f>
        <v>102.98880929724255</v>
      </c>
      <c r="Q23" s="197">
        <f>IF(Computation!F65=0,0,1)</f>
        <v>0</v>
      </c>
      <c r="R23" s="247">
        <f t="shared" si="4"/>
        <v>8</v>
      </c>
      <c r="S23" s="2"/>
      <c r="T23" s="194">
        <f>T22</f>
        <v>102.98880929724255</v>
      </c>
      <c r="U23" s="195">
        <f>IF(Computation!F84=0,0,1)</f>
        <v>0</v>
      </c>
      <c r="V23" s="246">
        <f t="shared" si="5"/>
        <v>16</v>
      </c>
      <c r="W23" s="2"/>
      <c r="X23" s="194">
        <f>X22</f>
        <v>102.98880929724255</v>
      </c>
      <c r="Y23" s="211">
        <f>IF(Computation!F103=0,0,1)</f>
        <v>0</v>
      </c>
      <c r="Z23" s="246">
        <f t="shared" si="6"/>
        <v>24</v>
      </c>
      <c r="AA23" s="2"/>
      <c r="AB23" s="194">
        <f>AB22</f>
        <v>102.98880929724255</v>
      </c>
      <c r="AC23" s="195">
        <f>IF(Computation!F122=0,0,1)</f>
        <v>0</v>
      </c>
      <c r="AD23" s="246">
        <f t="shared" si="7"/>
        <v>32</v>
      </c>
      <c r="AE23" s="2"/>
      <c r="AF23" s="194">
        <f>AF22</f>
        <v>102.98880929724255</v>
      </c>
      <c r="AG23" s="195">
        <f>IF(Computation!F141=0,0,1)</f>
        <v>0</v>
      </c>
      <c r="AH23" s="246">
        <f t="shared" si="8"/>
        <v>40</v>
      </c>
      <c r="AI23" s="2"/>
      <c r="AJ23" s="194">
        <f>AJ22</f>
        <v>102.98880929724255</v>
      </c>
      <c r="AK23" s="195">
        <f>IF(Computation!F160=0,0,1)</f>
        <v>0</v>
      </c>
      <c r="AL23" s="246">
        <f t="shared" si="9"/>
        <v>48</v>
      </c>
      <c r="AM23" s="111"/>
      <c r="AN23" s="194">
        <f>AN22</f>
        <v>102.98880929724255</v>
      </c>
      <c r="AO23" s="195">
        <f>IF(Computation!F179=0,0,1)</f>
        <v>0</v>
      </c>
      <c r="AP23" s="246">
        <f t="shared" si="10"/>
        <v>56</v>
      </c>
      <c r="AQ23" s="111"/>
      <c r="AR23" s="194">
        <f>AR22</f>
        <v>102.98880929724255</v>
      </c>
      <c r="AS23" s="195">
        <f>IF(Computation!F198=0,0,1)</f>
        <v>0</v>
      </c>
      <c r="AT23" s="246">
        <f t="shared" si="11"/>
        <v>64</v>
      </c>
      <c r="AV23" s="194">
        <f>AV22</f>
        <v>102.98880929724255</v>
      </c>
      <c r="AW23" s="195">
        <f>IF(Computation!F217=0,0,1)</f>
        <v>0</v>
      </c>
      <c r="AX23" s="246">
        <f t="shared" si="12"/>
        <v>72</v>
      </c>
    </row>
    <row r="24" spans="1:50" ht="12.75">
      <c r="A24" s="2"/>
      <c r="B24" s="2"/>
      <c r="C24" s="2"/>
      <c r="D24" s="2"/>
      <c r="E24" s="2"/>
      <c r="F24" s="2"/>
      <c r="G24" s="2"/>
      <c r="H24" s="2"/>
      <c r="I24" s="2"/>
      <c r="J24" s="2"/>
      <c r="K24" s="101"/>
      <c r="L24" s="194">
        <f>L23+Computation!F46</f>
        <v>102.98880929724255</v>
      </c>
      <c r="M24" s="195">
        <f>M23</f>
        <v>0</v>
      </c>
      <c r="N24" s="246">
        <f t="shared" si="3"/>
        <v>0</v>
      </c>
      <c r="O24" s="2"/>
      <c r="P24" s="194">
        <f>P23+Computation!F65</f>
        <v>102.98880929724255</v>
      </c>
      <c r="Q24" s="197">
        <f>Q23</f>
        <v>0</v>
      </c>
      <c r="R24" s="247">
        <f t="shared" si="4"/>
        <v>8</v>
      </c>
      <c r="S24" s="2"/>
      <c r="T24" s="194">
        <f>T23+Computation!F84</f>
        <v>102.98880929724255</v>
      </c>
      <c r="U24" s="195">
        <f>U23</f>
        <v>0</v>
      </c>
      <c r="V24" s="246">
        <f t="shared" si="5"/>
        <v>16</v>
      </c>
      <c r="W24" s="2"/>
      <c r="X24" s="194">
        <f>X23+Computation!F103</f>
        <v>102.98880929724255</v>
      </c>
      <c r="Y24" s="211">
        <f>Y23</f>
        <v>0</v>
      </c>
      <c r="Z24" s="246">
        <f t="shared" si="6"/>
        <v>24</v>
      </c>
      <c r="AA24" s="2"/>
      <c r="AB24" s="194">
        <f>AB23+Computation!F122</f>
        <v>102.98880929724255</v>
      </c>
      <c r="AC24" s="195">
        <f>AC23</f>
        <v>0</v>
      </c>
      <c r="AD24" s="246">
        <f t="shared" si="7"/>
        <v>32</v>
      </c>
      <c r="AE24" s="2"/>
      <c r="AF24" s="194">
        <f>AF23+Computation!F141</f>
        <v>102.98880929724255</v>
      </c>
      <c r="AG24" s="195">
        <f>AG23</f>
        <v>0</v>
      </c>
      <c r="AH24" s="246">
        <f t="shared" si="8"/>
        <v>40</v>
      </c>
      <c r="AI24" s="2"/>
      <c r="AJ24" s="194">
        <f>AJ23+Computation!F160</f>
        <v>102.98880929724255</v>
      </c>
      <c r="AK24" s="195">
        <f>AK23</f>
        <v>0</v>
      </c>
      <c r="AL24" s="246">
        <f t="shared" si="9"/>
        <v>48</v>
      </c>
      <c r="AM24" s="111"/>
      <c r="AN24" s="194">
        <f>AN23+Computation!F179</f>
        <v>102.98880929724255</v>
      </c>
      <c r="AO24" s="195">
        <f>AO23</f>
        <v>0</v>
      </c>
      <c r="AP24" s="246">
        <f t="shared" si="10"/>
        <v>56</v>
      </c>
      <c r="AQ24" s="111"/>
      <c r="AR24" s="194">
        <f>AR23+Computation!F198</f>
        <v>102.98880929724255</v>
      </c>
      <c r="AS24" s="195">
        <f>AS23</f>
        <v>0</v>
      </c>
      <c r="AT24" s="246">
        <f t="shared" si="11"/>
        <v>64</v>
      </c>
      <c r="AV24" s="194">
        <f>AV23+Computation!F217</f>
        <v>102.98880929724255</v>
      </c>
      <c r="AW24" s="195">
        <f>AW23</f>
        <v>0</v>
      </c>
      <c r="AX24" s="246">
        <f t="shared" si="12"/>
        <v>72</v>
      </c>
    </row>
    <row r="25" spans="1:50" ht="12.75">
      <c r="A25" s="2"/>
      <c r="B25" s="2"/>
      <c r="C25" s="2"/>
      <c r="D25" s="2"/>
      <c r="E25" s="2"/>
      <c r="F25" s="2"/>
      <c r="G25" s="2"/>
      <c r="H25" s="2"/>
      <c r="I25" s="2"/>
      <c r="J25" s="2"/>
      <c r="K25" s="101"/>
      <c r="L25" s="194">
        <f>L24</f>
        <v>102.98880929724255</v>
      </c>
      <c r="M25" s="195">
        <v>0</v>
      </c>
      <c r="N25" s="246">
        <f t="shared" si="3"/>
        <v>0</v>
      </c>
      <c r="O25" s="2"/>
      <c r="P25" s="194">
        <f>P24</f>
        <v>102.98880929724255</v>
      </c>
      <c r="Q25" s="197">
        <v>0</v>
      </c>
      <c r="R25" s="247">
        <f t="shared" si="4"/>
        <v>8</v>
      </c>
      <c r="S25" s="2"/>
      <c r="T25" s="194">
        <f>T24</f>
        <v>102.98880929724255</v>
      </c>
      <c r="U25" s="195">
        <v>0</v>
      </c>
      <c r="V25" s="246">
        <f t="shared" si="5"/>
        <v>16</v>
      </c>
      <c r="W25" s="2"/>
      <c r="X25" s="194">
        <f>X24</f>
        <v>102.98880929724255</v>
      </c>
      <c r="Y25" s="211">
        <v>0</v>
      </c>
      <c r="Z25" s="246">
        <f t="shared" si="6"/>
        <v>24</v>
      </c>
      <c r="AA25" s="2"/>
      <c r="AB25" s="194">
        <f>AB24</f>
        <v>102.98880929724255</v>
      </c>
      <c r="AC25" s="195">
        <v>0</v>
      </c>
      <c r="AD25" s="246">
        <f t="shared" si="7"/>
        <v>32</v>
      </c>
      <c r="AE25" s="2"/>
      <c r="AF25" s="194">
        <f>AF24</f>
        <v>102.98880929724255</v>
      </c>
      <c r="AG25" s="195">
        <v>0</v>
      </c>
      <c r="AH25" s="246">
        <f t="shared" si="8"/>
        <v>40</v>
      </c>
      <c r="AI25" s="2"/>
      <c r="AJ25" s="194">
        <f>AJ24</f>
        <v>102.98880929724255</v>
      </c>
      <c r="AK25" s="195">
        <v>0</v>
      </c>
      <c r="AL25" s="246">
        <f t="shared" si="9"/>
        <v>48</v>
      </c>
      <c r="AM25" s="111"/>
      <c r="AN25" s="194">
        <f>AN24</f>
        <v>102.98880929724255</v>
      </c>
      <c r="AO25" s="195">
        <v>0</v>
      </c>
      <c r="AP25" s="246">
        <f t="shared" si="10"/>
        <v>56</v>
      </c>
      <c r="AQ25" s="111"/>
      <c r="AR25" s="194">
        <f>AR24</f>
        <v>102.98880929724255</v>
      </c>
      <c r="AS25" s="195">
        <v>0</v>
      </c>
      <c r="AT25" s="246">
        <f t="shared" si="11"/>
        <v>64</v>
      </c>
      <c r="AV25" s="194">
        <f>AV24</f>
        <v>102.98880929724255</v>
      </c>
      <c r="AW25" s="195">
        <v>0</v>
      </c>
      <c r="AX25" s="246">
        <f t="shared" si="12"/>
        <v>72</v>
      </c>
    </row>
    <row r="26" spans="1:50" ht="12.75">
      <c r="A26" s="2"/>
      <c r="B26" s="2"/>
      <c r="C26" s="2"/>
      <c r="D26" s="2"/>
      <c r="E26" s="2"/>
      <c r="F26" s="2"/>
      <c r="G26" s="2"/>
      <c r="H26" s="2"/>
      <c r="I26" s="2"/>
      <c r="J26" s="2"/>
      <c r="K26" s="101"/>
      <c r="L26" s="107">
        <f>Computation!B47</f>
        <v>205.9776185944851</v>
      </c>
      <c r="M26" s="108">
        <v>0</v>
      </c>
      <c r="N26" s="240">
        <f t="shared" si="3"/>
        <v>0</v>
      </c>
      <c r="O26" s="2"/>
      <c r="P26" s="107">
        <f>Computation!B66</f>
        <v>205.9776185944851</v>
      </c>
      <c r="Q26" s="106">
        <v>0</v>
      </c>
      <c r="R26" s="242">
        <f t="shared" si="4"/>
        <v>8</v>
      </c>
      <c r="S26" s="2"/>
      <c r="T26" s="107">
        <f>Computation!B85</f>
        <v>205.9776185944851</v>
      </c>
      <c r="U26" s="108">
        <v>0</v>
      </c>
      <c r="V26" s="240">
        <f t="shared" si="5"/>
        <v>16</v>
      </c>
      <c r="W26" s="2"/>
      <c r="X26" s="107">
        <f>Computation!B104</f>
        <v>205.9776185944851</v>
      </c>
      <c r="Y26" s="109">
        <v>0</v>
      </c>
      <c r="Z26" s="240">
        <f t="shared" si="6"/>
        <v>24</v>
      </c>
      <c r="AA26" s="2"/>
      <c r="AB26" s="107">
        <f>Computation!B123</f>
        <v>205.9776185944851</v>
      </c>
      <c r="AC26" s="108">
        <v>0</v>
      </c>
      <c r="AD26" s="240">
        <f t="shared" si="7"/>
        <v>32</v>
      </c>
      <c r="AE26" s="2"/>
      <c r="AF26" s="107">
        <f>Computation!B142</f>
        <v>205.9776185944851</v>
      </c>
      <c r="AG26" s="108">
        <v>0</v>
      </c>
      <c r="AH26" s="240">
        <f t="shared" si="8"/>
        <v>40</v>
      </c>
      <c r="AI26" s="2"/>
      <c r="AJ26" s="107">
        <f>Computation!B161</f>
        <v>205.9776185944851</v>
      </c>
      <c r="AK26" s="108">
        <v>0</v>
      </c>
      <c r="AL26" s="240">
        <f t="shared" si="9"/>
        <v>48</v>
      </c>
      <c r="AM26" s="111"/>
      <c r="AN26" s="107">
        <f>Computation!B180</f>
        <v>205.9776185944851</v>
      </c>
      <c r="AO26" s="108">
        <v>0</v>
      </c>
      <c r="AP26" s="240">
        <f t="shared" si="10"/>
        <v>56</v>
      </c>
      <c r="AQ26" s="111"/>
      <c r="AR26" s="107">
        <f>Computation!B199</f>
        <v>205.9776185944851</v>
      </c>
      <c r="AS26" s="108">
        <v>0</v>
      </c>
      <c r="AT26" s="240">
        <f t="shared" si="11"/>
        <v>64</v>
      </c>
      <c r="AV26" s="107">
        <f>Computation!B218</f>
        <v>205.9776185944851</v>
      </c>
      <c r="AW26" s="108">
        <v>0</v>
      </c>
      <c r="AX26" s="240">
        <f t="shared" si="12"/>
        <v>72</v>
      </c>
    </row>
    <row r="27" spans="1:50" ht="12.75">
      <c r="A27" s="2"/>
      <c r="B27" s="2"/>
      <c r="C27" s="2"/>
      <c r="D27" s="2"/>
      <c r="E27" s="2"/>
      <c r="F27" s="2"/>
      <c r="G27" s="2"/>
      <c r="H27" s="2"/>
      <c r="I27" s="2"/>
      <c r="J27" s="2"/>
      <c r="K27" s="101"/>
      <c r="L27" s="107">
        <f>L26</f>
        <v>205.9776185944851</v>
      </c>
      <c r="M27" s="108">
        <f>IF(Computation!F47=0,0,1)</f>
        <v>0</v>
      </c>
      <c r="N27" s="240">
        <f t="shared" si="3"/>
        <v>0</v>
      </c>
      <c r="O27" s="2"/>
      <c r="P27" s="107">
        <f>P26</f>
        <v>205.9776185944851</v>
      </c>
      <c r="Q27" s="106">
        <f>IF(Computation!F66=0,0,1)</f>
        <v>0</v>
      </c>
      <c r="R27" s="242">
        <f t="shared" si="4"/>
        <v>8</v>
      </c>
      <c r="S27" s="2"/>
      <c r="T27" s="107">
        <f>T26</f>
        <v>205.9776185944851</v>
      </c>
      <c r="U27" s="108">
        <f>IF(Computation!F85=0,0,1)</f>
        <v>0</v>
      </c>
      <c r="V27" s="240">
        <f t="shared" si="5"/>
        <v>16</v>
      </c>
      <c r="W27" s="2"/>
      <c r="X27" s="107">
        <f>X26</f>
        <v>205.9776185944851</v>
      </c>
      <c r="Y27" s="109">
        <f>IF(Computation!F104=0,0,1)</f>
        <v>0</v>
      </c>
      <c r="Z27" s="240">
        <f t="shared" si="6"/>
        <v>24</v>
      </c>
      <c r="AA27" s="2"/>
      <c r="AB27" s="107">
        <f>AB26</f>
        <v>205.9776185944851</v>
      </c>
      <c r="AC27" s="108">
        <f>IF(Computation!F123=0,0,1)</f>
        <v>0</v>
      </c>
      <c r="AD27" s="240">
        <f t="shared" si="7"/>
        <v>32</v>
      </c>
      <c r="AE27" s="2"/>
      <c r="AF27" s="107">
        <f>AF26</f>
        <v>205.9776185944851</v>
      </c>
      <c r="AG27" s="108">
        <f>IF(Computation!F142=0,0,1)</f>
        <v>0</v>
      </c>
      <c r="AH27" s="240">
        <f t="shared" si="8"/>
        <v>40</v>
      </c>
      <c r="AI27" s="2"/>
      <c r="AJ27" s="107">
        <f>AJ26</f>
        <v>205.9776185944851</v>
      </c>
      <c r="AK27" s="108">
        <f>IF(Computation!F161=0,0,1)</f>
        <v>0</v>
      </c>
      <c r="AL27" s="240">
        <f t="shared" si="9"/>
        <v>48</v>
      </c>
      <c r="AM27" s="111"/>
      <c r="AN27" s="107">
        <f>AN26</f>
        <v>205.9776185944851</v>
      </c>
      <c r="AO27" s="108">
        <f>IF(Computation!F180=0,0,1)</f>
        <v>0</v>
      </c>
      <c r="AP27" s="240">
        <f t="shared" si="10"/>
        <v>56</v>
      </c>
      <c r="AQ27" s="111"/>
      <c r="AR27" s="107">
        <f>AR26</f>
        <v>205.9776185944851</v>
      </c>
      <c r="AS27" s="108">
        <f>IF(Computation!F199=0,0,1)</f>
        <v>0</v>
      </c>
      <c r="AT27" s="240">
        <f t="shared" si="11"/>
        <v>64</v>
      </c>
      <c r="AV27" s="107">
        <f>AV26</f>
        <v>205.9776185944851</v>
      </c>
      <c r="AW27" s="108">
        <f>IF(Computation!F218=0,0,1)</f>
        <v>0</v>
      </c>
      <c r="AX27" s="240">
        <f t="shared" si="12"/>
        <v>72</v>
      </c>
    </row>
    <row r="28" spans="1:50" ht="12.75">
      <c r="A28" s="2"/>
      <c r="B28" s="2"/>
      <c r="C28" s="2"/>
      <c r="D28" s="2"/>
      <c r="E28" s="2"/>
      <c r="F28" s="2"/>
      <c r="G28" s="2"/>
      <c r="H28" s="2"/>
      <c r="I28" s="2"/>
      <c r="J28" s="2"/>
      <c r="K28" s="101"/>
      <c r="L28" s="107">
        <f>L27+Computation!F47</f>
        <v>205.9776185944851</v>
      </c>
      <c r="M28" s="108">
        <f>M27</f>
        <v>0</v>
      </c>
      <c r="N28" s="240">
        <f t="shared" si="3"/>
        <v>0</v>
      </c>
      <c r="O28" s="2"/>
      <c r="P28" s="107">
        <f>P27+Computation!F66</f>
        <v>205.9776185944851</v>
      </c>
      <c r="Q28" s="106">
        <f>Q27</f>
        <v>0</v>
      </c>
      <c r="R28" s="242">
        <f t="shared" si="4"/>
        <v>8</v>
      </c>
      <c r="S28" s="2"/>
      <c r="T28" s="107">
        <f>T27+Computation!F85</f>
        <v>205.9776185944851</v>
      </c>
      <c r="U28" s="108">
        <f>U27</f>
        <v>0</v>
      </c>
      <c r="V28" s="240">
        <f t="shared" si="5"/>
        <v>16</v>
      </c>
      <c r="W28" s="2"/>
      <c r="X28" s="107">
        <f>X27+Computation!F104</f>
        <v>205.9776185944851</v>
      </c>
      <c r="Y28" s="109">
        <f>Y27</f>
        <v>0</v>
      </c>
      <c r="Z28" s="240">
        <f t="shared" si="6"/>
        <v>24</v>
      </c>
      <c r="AA28" s="2"/>
      <c r="AB28" s="107">
        <f>AB27+Computation!F123</f>
        <v>205.9776185944851</v>
      </c>
      <c r="AC28" s="108">
        <f>AC27</f>
        <v>0</v>
      </c>
      <c r="AD28" s="240">
        <f t="shared" si="7"/>
        <v>32</v>
      </c>
      <c r="AE28" s="2"/>
      <c r="AF28" s="107">
        <f>AF27+Computation!F142</f>
        <v>205.9776185944851</v>
      </c>
      <c r="AG28" s="108">
        <f>AG27</f>
        <v>0</v>
      </c>
      <c r="AH28" s="240">
        <f t="shared" si="8"/>
        <v>40</v>
      </c>
      <c r="AI28" s="2"/>
      <c r="AJ28" s="107">
        <f>AJ27+Computation!F161</f>
        <v>205.9776185944851</v>
      </c>
      <c r="AK28" s="108">
        <f>AK27</f>
        <v>0</v>
      </c>
      <c r="AL28" s="240">
        <f t="shared" si="9"/>
        <v>48</v>
      </c>
      <c r="AM28" s="111"/>
      <c r="AN28" s="107">
        <f>AN27+Computation!F180</f>
        <v>205.9776185944851</v>
      </c>
      <c r="AO28" s="108">
        <f>AO27</f>
        <v>0</v>
      </c>
      <c r="AP28" s="240">
        <f t="shared" si="10"/>
        <v>56</v>
      </c>
      <c r="AQ28" s="111"/>
      <c r="AR28" s="107">
        <f>AR27+Computation!F199</f>
        <v>205.9776185944851</v>
      </c>
      <c r="AS28" s="108">
        <f>AS27</f>
        <v>0</v>
      </c>
      <c r="AT28" s="240">
        <f t="shared" si="11"/>
        <v>64</v>
      </c>
      <c r="AV28" s="107">
        <f>AV27+Computation!F218</f>
        <v>205.9776185944851</v>
      </c>
      <c r="AW28" s="108">
        <f>AW27</f>
        <v>0</v>
      </c>
      <c r="AX28" s="240">
        <f t="shared" si="12"/>
        <v>72</v>
      </c>
    </row>
    <row r="29" spans="1:50" ht="12.75">
      <c r="A29" s="2"/>
      <c r="B29" s="2"/>
      <c r="C29" s="2"/>
      <c r="D29" s="2"/>
      <c r="E29" s="2"/>
      <c r="F29" s="2"/>
      <c r="G29" s="2"/>
      <c r="H29" s="2"/>
      <c r="I29" s="2"/>
      <c r="J29" s="2"/>
      <c r="K29" s="101"/>
      <c r="L29" s="107">
        <f>L28</f>
        <v>205.9776185944851</v>
      </c>
      <c r="M29" s="108">
        <v>0</v>
      </c>
      <c r="N29" s="240">
        <f t="shared" si="3"/>
        <v>0</v>
      </c>
      <c r="O29" s="2"/>
      <c r="P29" s="107">
        <f>P28</f>
        <v>205.9776185944851</v>
      </c>
      <c r="Q29" s="106">
        <v>0</v>
      </c>
      <c r="R29" s="242">
        <f t="shared" si="4"/>
        <v>8</v>
      </c>
      <c r="S29" s="2"/>
      <c r="T29" s="107">
        <f>T28</f>
        <v>205.9776185944851</v>
      </c>
      <c r="U29" s="108">
        <v>0</v>
      </c>
      <c r="V29" s="240">
        <f t="shared" si="5"/>
        <v>16</v>
      </c>
      <c r="W29" s="2"/>
      <c r="X29" s="107">
        <f>X28</f>
        <v>205.9776185944851</v>
      </c>
      <c r="Y29" s="109">
        <v>0</v>
      </c>
      <c r="Z29" s="240">
        <f t="shared" si="6"/>
        <v>24</v>
      </c>
      <c r="AA29" s="2"/>
      <c r="AB29" s="107">
        <f>AB28</f>
        <v>205.9776185944851</v>
      </c>
      <c r="AC29" s="108">
        <v>0</v>
      </c>
      <c r="AD29" s="240">
        <f t="shared" si="7"/>
        <v>32</v>
      </c>
      <c r="AE29" s="2"/>
      <c r="AF29" s="107">
        <f>AF28</f>
        <v>205.9776185944851</v>
      </c>
      <c r="AG29" s="108">
        <v>0</v>
      </c>
      <c r="AH29" s="240">
        <f t="shared" si="8"/>
        <v>40</v>
      </c>
      <c r="AI29" s="2"/>
      <c r="AJ29" s="107">
        <f>AJ28</f>
        <v>205.9776185944851</v>
      </c>
      <c r="AK29" s="108">
        <v>0</v>
      </c>
      <c r="AL29" s="240">
        <f t="shared" si="9"/>
        <v>48</v>
      </c>
      <c r="AM29" s="111"/>
      <c r="AN29" s="107">
        <f>AN28</f>
        <v>205.9776185944851</v>
      </c>
      <c r="AO29" s="108">
        <v>0</v>
      </c>
      <c r="AP29" s="240">
        <f t="shared" si="10"/>
        <v>56</v>
      </c>
      <c r="AQ29" s="111"/>
      <c r="AR29" s="107">
        <f>AR28</f>
        <v>205.9776185944851</v>
      </c>
      <c r="AS29" s="108">
        <v>0</v>
      </c>
      <c r="AT29" s="240">
        <f t="shared" si="11"/>
        <v>64</v>
      </c>
      <c r="AV29" s="107">
        <f>AV28</f>
        <v>205.9776185944851</v>
      </c>
      <c r="AW29" s="108">
        <v>0</v>
      </c>
      <c r="AX29" s="240">
        <f t="shared" si="12"/>
        <v>72</v>
      </c>
    </row>
    <row r="30" spans="1:50" ht="12.75">
      <c r="A30" s="2"/>
      <c r="B30" s="2"/>
      <c r="C30" s="2"/>
      <c r="D30" s="2"/>
      <c r="E30" s="2"/>
      <c r="F30" s="2"/>
      <c r="G30" s="2"/>
      <c r="H30" s="2"/>
      <c r="I30" s="2"/>
      <c r="J30" s="2"/>
      <c r="K30" s="101"/>
      <c r="L30" s="194">
        <f>Computation!B48</f>
        <v>308.9664278917277</v>
      </c>
      <c r="M30" s="195">
        <v>0</v>
      </c>
      <c r="N30" s="246">
        <f t="shared" si="3"/>
        <v>0</v>
      </c>
      <c r="O30" s="2"/>
      <c r="P30" s="194">
        <f>Computation!B67</f>
        <v>308.9664278917277</v>
      </c>
      <c r="Q30" s="197">
        <v>0</v>
      </c>
      <c r="R30" s="247">
        <f t="shared" si="4"/>
        <v>8</v>
      </c>
      <c r="S30" s="2"/>
      <c r="T30" s="194">
        <f>Computation!B86</f>
        <v>308.9664278917277</v>
      </c>
      <c r="U30" s="195">
        <v>0</v>
      </c>
      <c r="V30" s="246">
        <f t="shared" si="5"/>
        <v>16</v>
      </c>
      <c r="W30" s="2"/>
      <c r="X30" s="194">
        <f>Computation!B105</f>
        <v>308.9664278917277</v>
      </c>
      <c r="Y30" s="211">
        <v>0</v>
      </c>
      <c r="Z30" s="246">
        <f t="shared" si="6"/>
        <v>24</v>
      </c>
      <c r="AA30" s="2"/>
      <c r="AB30" s="194">
        <f>Computation!B124</f>
        <v>308.9664278917277</v>
      </c>
      <c r="AC30" s="195">
        <v>0</v>
      </c>
      <c r="AD30" s="246">
        <f t="shared" si="7"/>
        <v>32</v>
      </c>
      <c r="AE30" s="2"/>
      <c r="AF30" s="194">
        <f>Computation!B143</f>
        <v>308.9664278917277</v>
      </c>
      <c r="AG30" s="195">
        <v>0</v>
      </c>
      <c r="AH30" s="246">
        <f t="shared" si="8"/>
        <v>40</v>
      </c>
      <c r="AI30" s="2"/>
      <c r="AJ30" s="194">
        <f>Computation!B162</f>
        <v>308.9664278917277</v>
      </c>
      <c r="AK30" s="195">
        <v>0</v>
      </c>
      <c r="AL30" s="246">
        <f t="shared" si="9"/>
        <v>48</v>
      </c>
      <c r="AM30" s="111"/>
      <c r="AN30" s="194">
        <f>Computation!B181</f>
        <v>308.9664278917277</v>
      </c>
      <c r="AO30" s="195">
        <v>0</v>
      </c>
      <c r="AP30" s="246">
        <f t="shared" si="10"/>
        <v>56</v>
      </c>
      <c r="AQ30" s="111"/>
      <c r="AR30" s="194">
        <f>Computation!B200</f>
        <v>308.9664278917277</v>
      </c>
      <c r="AS30" s="195">
        <v>0</v>
      </c>
      <c r="AT30" s="246">
        <f t="shared" si="11"/>
        <v>64</v>
      </c>
      <c r="AV30" s="194">
        <f>Computation!B219</f>
        <v>308.9664278917277</v>
      </c>
      <c r="AW30" s="195">
        <v>0</v>
      </c>
      <c r="AX30" s="246">
        <f t="shared" si="12"/>
        <v>72</v>
      </c>
    </row>
    <row r="31" spans="1:50" ht="12.75">
      <c r="A31" s="2"/>
      <c r="B31" s="2"/>
      <c r="C31" s="2"/>
      <c r="D31" s="2"/>
      <c r="E31" s="2"/>
      <c r="F31" s="2"/>
      <c r="G31" s="2"/>
      <c r="H31" s="2"/>
      <c r="I31" s="2"/>
      <c r="J31" s="2"/>
      <c r="K31" s="101"/>
      <c r="L31" s="194">
        <f>L30</f>
        <v>308.9664278917277</v>
      </c>
      <c r="M31" s="195">
        <f>IF(Computation!F48=0,0,1)</f>
        <v>1</v>
      </c>
      <c r="N31" s="246">
        <f t="shared" si="3"/>
        <v>4</v>
      </c>
      <c r="O31" s="2"/>
      <c r="P31" s="194">
        <f>P30</f>
        <v>308.9664278917277</v>
      </c>
      <c r="Q31" s="197">
        <f>IF(Computation!F67=0,0,1)</f>
        <v>1</v>
      </c>
      <c r="R31" s="247">
        <f t="shared" si="4"/>
        <v>12</v>
      </c>
      <c r="S31" s="2"/>
      <c r="T31" s="194">
        <f>T30</f>
        <v>308.9664278917277</v>
      </c>
      <c r="U31" s="195">
        <f>IF(Computation!F86=0,0,1)</f>
        <v>1</v>
      </c>
      <c r="V31" s="246">
        <f t="shared" si="5"/>
        <v>20</v>
      </c>
      <c r="W31" s="2"/>
      <c r="X31" s="194">
        <f>X30</f>
        <v>308.9664278917277</v>
      </c>
      <c r="Y31" s="211">
        <f>IF(Computation!F105=0,0,1)</f>
        <v>0</v>
      </c>
      <c r="Z31" s="246">
        <f t="shared" si="6"/>
        <v>24</v>
      </c>
      <c r="AA31" s="2"/>
      <c r="AB31" s="194">
        <f>AB30</f>
        <v>308.9664278917277</v>
      </c>
      <c r="AC31" s="195">
        <f>IF(Computation!F124=0,0,1)</f>
        <v>0</v>
      </c>
      <c r="AD31" s="246">
        <f t="shared" si="7"/>
        <v>32</v>
      </c>
      <c r="AE31" s="2"/>
      <c r="AF31" s="194">
        <f>AF30</f>
        <v>308.9664278917277</v>
      </c>
      <c r="AG31" s="195">
        <f>IF(Computation!F143=0,0,1)</f>
        <v>0</v>
      </c>
      <c r="AH31" s="246">
        <f t="shared" si="8"/>
        <v>40</v>
      </c>
      <c r="AI31" s="2"/>
      <c r="AJ31" s="194">
        <f>AJ30</f>
        <v>308.9664278917277</v>
      </c>
      <c r="AK31" s="195">
        <f>IF(Computation!F162=0,0,1)</f>
        <v>0</v>
      </c>
      <c r="AL31" s="246">
        <f t="shared" si="9"/>
        <v>48</v>
      </c>
      <c r="AM31" s="111"/>
      <c r="AN31" s="194">
        <f>AN30</f>
        <v>308.9664278917277</v>
      </c>
      <c r="AO31" s="195">
        <f>IF(Computation!F181=0,0,1)</f>
        <v>0</v>
      </c>
      <c r="AP31" s="246">
        <f t="shared" si="10"/>
        <v>56</v>
      </c>
      <c r="AQ31" s="111"/>
      <c r="AR31" s="194">
        <f>AR30</f>
        <v>308.9664278917277</v>
      </c>
      <c r="AS31" s="195">
        <f>IF(Computation!F200=0,0,1)</f>
        <v>0</v>
      </c>
      <c r="AT31" s="246">
        <f t="shared" si="11"/>
        <v>64</v>
      </c>
      <c r="AV31" s="194">
        <f>AV30</f>
        <v>308.9664278917277</v>
      </c>
      <c r="AW31" s="195">
        <f>IF(Computation!F219=0,0,1)</f>
        <v>0</v>
      </c>
      <c r="AX31" s="246">
        <f t="shared" si="12"/>
        <v>72</v>
      </c>
    </row>
    <row r="32" spans="1:50" ht="12.75">
      <c r="A32" s="2"/>
      <c r="B32" s="2"/>
      <c r="C32" s="2"/>
      <c r="D32" s="2"/>
      <c r="E32" s="2"/>
      <c r="F32" s="2"/>
      <c r="G32" s="2"/>
      <c r="H32" s="2"/>
      <c r="I32" s="2"/>
      <c r="J32" s="2"/>
      <c r="K32" s="2"/>
      <c r="L32" s="194">
        <f>L31+Computation!F48</f>
        <v>322.36616418879026</v>
      </c>
      <c r="M32" s="195">
        <f>M31</f>
        <v>1</v>
      </c>
      <c r="N32" s="246">
        <f t="shared" si="3"/>
        <v>4</v>
      </c>
      <c r="O32" s="2"/>
      <c r="P32" s="194">
        <f>P31+Computation!F67</f>
        <v>320.6199655101576</v>
      </c>
      <c r="Q32" s="197">
        <f>Q31</f>
        <v>1</v>
      </c>
      <c r="R32" s="247">
        <f t="shared" si="4"/>
        <v>12</v>
      </c>
      <c r="S32" s="2"/>
      <c r="T32" s="194">
        <f>T31+Computation!F86</f>
        <v>317.5786731364123</v>
      </c>
      <c r="U32" s="195">
        <f>U31</f>
        <v>1</v>
      </c>
      <c r="V32" s="246">
        <f t="shared" si="5"/>
        <v>20</v>
      </c>
      <c r="W32" s="2"/>
      <c r="X32" s="194">
        <f>X31+Computation!F105</f>
        <v>308.9664278917277</v>
      </c>
      <c r="Y32" s="211">
        <f>Y31</f>
        <v>0</v>
      </c>
      <c r="Z32" s="246">
        <f t="shared" si="6"/>
        <v>24</v>
      </c>
      <c r="AA32" s="2"/>
      <c r="AB32" s="194">
        <f>AB31+Computation!F124</f>
        <v>308.9664278917277</v>
      </c>
      <c r="AC32" s="195">
        <f>AC31</f>
        <v>0</v>
      </c>
      <c r="AD32" s="246">
        <f t="shared" si="7"/>
        <v>32</v>
      </c>
      <c r="AE32" s="2"/>
      <c r="AF32" s="194">
        <f>AF31+Computation!F143</f>
        <v>308.9664278917277</v>
      </c>
      <c r="AG32" s="195">
        <f>AG31</f>
        <v>0</v>
      </c>
      <c r="AH32" s="246">
        <f t="shared" si="8"/>
        <v>40</v>
      </c>
      <c r="AI32" s="2"/>
      <c r="AJ32" s="194">
        <f>AJ31+Computation!F162</f>
        <v>308.9664278917277</v>
      </c>
      <c r="AK32" s="195">
        <f>AK31</f>
        <v>0</v>
      </c>
      <c r="AL32" s="246">
        <f t="shared" si="9"/>
        <v>48</v>
      </c>
      <c r="AM32" s="111"/>
      <c r="AN32" s="194">
        <f>AN31+Computation!F181</f>
        <v>308.9664278917277</v>
      </c>
      <c r="AO32" s="195">
        <f>AO31</f>
        <v>0</v>
      </c>
      <c r="AP32" s="246">
        <f t="shared" si="10"/>
        <v>56</v>
      </c>
      <c r="AQ32" s="111"/>
      <c r="AR32" s="194">
        <f>AR31+Computation!F200</f>
        <v>308.9664278917277</v>
      </c>
      <c r="AS32" s="195">
        <f>AS31</f>
        <v>0</v>
      </c>
      <c r="AT32" s="246">
        <f t="shared" si="11"/>
        <v>64</v>
      </c>
      <c r="AV32" s="194">
        <f>AV31+Computation!F219</f>
        <v>308.9664278917277</v>
      </c>
      <c r="AW32" s="195">
        <f>AW31</f>
        <v>0</v>
      </c>
      <c r="AX32" s="246">
        <f t="shared" si="12"/>
        <v>72</v>
      </c>
    </row>
    <row r="33" spans="1:50" ht="12.75">
      <c r="A33" s="2"/>
      <c r="B33" s="2"/>
      <c r="C33" s="2"/>
      <c r="D33" s="2"/>
      <c r="E33" s="2"/>
      <c r="F33" s="2"/>
      <c r="G33" s="2"/>
      <c r="H33" s="2"/>
      <c r="I33" s="2"/>
      <c r="J33" s="2"/>
      <c r="K33" s="2"/>
      <c r="L33" s="194">
        <f>L32</f>
        <v>322.36616418879026</v>
      </c>
      <c r="M33" s="195">
        <v>0</v>
      </c>
      <c r="N33" s="246">
        <f t="shared" si="3"/>
        <v>0</v>
      </c>
      <c r="O33" s="2"/>
      <c r="P33" s="194">
        <f>P32</f>
        <v>320.6199655101576</v>
      </c>
      <c r="Q33" s="197">
        <v>0</v>
      </c>
      <c r="R33" s="247">
        <f t="shared" si="4"/>
        <v>8</v>
      </c>
      <c r="S33" s="2"/>
      <c r="T33" s="194">
        <f>T32</f>
        <v>317.5786731364123</v>
      </c>
      <c r="U33" s="195">
        <v>0</v>
      </c>
      <c r="V33" s="246">
        <f t="shared" si="5"/>
        <v>16</v>
      </c>
      <c r="W33" s="2"/>
      <c r="X33" s="194">
        <f>X32</f>
        <v>308.9664278917277</v>
      </c>
      <c r="Y33" s="211">
        <v>0</v>
      </c>
      <c r="Z33" s="246">
        <f t="shared" si="6"/>
        <v>24</v>
      </c>
      <c r="AA33" s="2"/>
      <c r="AB33" s="194">
        <f>AB32</f>
        <v>308.9664278917277</v>
      </c>
      <c r="AC33" s="195">
        <v>0</v>
      </c>
      <c r="AD33" s="246">
        <f t="shared" si="7"/>
        <v>32</v>
      </c>
      <c r="AE33" s="2"/>
      <c r="AF33" s="194">
        <f>AF32</f>
        <v>308.9664278917277</v>
      </c>
      <c r="AG33" s="195">
        <v>0</v>
      </c>
      <c r="AH33" s="246">
        <f t="shared" si="8"/>
        <v>40</v>
      </c>
      <c r="AI33" s="2"/>
      <c r="AJ33" s="194">
        <f>AJ32</f>
        <v>308.9664278917277</v>
      </c>
      <c r="AK33" s="195">
        <v>0</v>
      </c>
      <c r="AL33" s="246">
        <f t="shared" si="9"/>
        <v>48</v>
      </c>
      <c r="AM33" s="111"/>
      <c r="AN33" s="194">
        <f>AN32</f>
        <v>308.9664278917277</v>
      </c>
      <c r="AO33" s="195">
        <v>0</v>
      </c>
      <c r="AP33" s="246">
        <f t="shared" si="10"/>
        <v>56</v>
      </c>
      <c r="AQ33" s="111"/>
      <c r="AR33" s="194">
        <f>AR32</f>
        <v>308.9664278917277</v>
      </c>
      <c r="AS33" s="195">
        <v>0</v>
      </c>
      <c r="AT33" s="246">
        <f t="shared" si="11"/>
        <v>64</v>
      </c>
      <c r="AV33" s="194">
        <f>AV32</f>
        <v>308.9664278917277</v>
      </c>
      <c r="AW33" s="195">
        <v>0</v>
      </c>
      <c r="AX33" s="246">
        <f t="shared" si="12"/>
        <v>72</v>
      </c>
    </row>
    <row r="34" spans="1:50" ht="12.75">
      <c r="A34" s="2"/>
      <c r="B34" s="2"/>
      <c r="C34" s="2"/>
      <c r="D34" s="2"/>
      <c r="E34" s="2"/>
      <c r="F34" s="2"/>
      <c r="G34" s="2"/>
      <c r="H34" s="2"/>
      <c r="I34" s="2"/>
      <c r="J34" s="2"/>
      <c r="K34" s="2"/>
      <c r="L34" s="107">
        <f>Computation!B49</f>
        <v>411.9552371889702</v>
      </c>
      <c r="M34" s="108">
        <v>0</v>
      </c>
      <c r="N34" s="240">
        <f t="shared" si="3"/>
        <v>0</v>
      </c>
      <c r="O34" s="2"/>
      <c r="P34" s="107">
        <f>Computation!B68</f>
        <v>411.9552371889702</v>
      </c>
      <c r="Q34" s="106">
        <v>0</v>
      </c>
      <c r="R34" s="242">
        <f t="shared" si="4"/>
        <v>8</v>
      </c>
      <c r="S34" s="2"/>
      <c r="T34" s="107">
        <f>Computation!B87</f>
        <v>411.9552371889702</v>
      </c>
      <c r="U34" s="108">
        <v>0</v>
      </c>
      <c r="V34" s="240">
        <f t="shared" si="5"/>
        <v>16</v>
      </c>
      <c r="W34" s="2"/>
      <c r="X34" s="107">
        <f>Computation!B106</f>
        <v>411.9552371889702</v>
      </c>
      <c r="Y34" s="109">
        <v>0</v>
      </c>
      <c r="Z34" s="240">
        <f t="shared" si="6"/>
        <v>24</v>
      </c>
      <c r="AA34" s="2"/>
      <c r="AB34" s="107">
        <f>Computation!B125</f>
        <v>411.9552371889702</v>
      </c>
      <c r="AC34" s="108">
        <v>0</v>
      </c>
      <c r="AD34" s="240">
        <f t="shared" si="7"/>
        <v>32</v>
      </c>
      <c r="AE34" s="2"/>
      <c r="AF34" s="107">
        <f>Computation!B144</f>
        <v>411.9552371889702</v>
      </c>
      <c r="AG34" s="108">
        <v>0</v>
      </c>
      <c r="AH34" s="240">
        <f t="shared" si="8"/>
        <v>40</v>
      </c>
      <c r="AI34" s="2"/>
      <c r="AJ34" s="107">
        <f>Computation!B163</f>
        <v>411.9552371889702</v>
      </c>
      <c r="AK34" s="108">
        <v>0</v>
      </c>
      <c r="AL34" s="240">
        <f t="shared" si="9"/>
        <v>48</v>
      </c>
      <c r="AM34" s="111"/>
      <c r="AN34" s="107">
        <f>Computation!B182</f>
        <v>411.9552371889702</v>
      </c>
      <c r="AO34" s="108">
        <v>0</v>
      </c>
      <c r="AP34" s="240">
        <f t="shared" si="10"/>
        <v>56</v>
      </c>
      <c r="AQ34" s="111"/>
      <c r="AR34" s="107">
        <f>Computation!B201</f>
        <v>411.9552371889702</v>
      </c>
      <c r="AS34" s="108">
        <v>0</v>
      </c>
      <c r="AT34" s="240">
        <f t="shared" si="11"/>
        <v>64</v>
      </c>
      <c r="AV34" s="107">
        <f>Computation!B220</f>
        <v>411.9552371889702</v>
      </c>
      <c r="AW34" s="108">
        <v>0</v>
      </c>
      <c r="AX34" s="240">
        <f t="shared" si="12"/>
        <v>72</v>
      </c>
    </row>
    <row r="35" spans="1:50" ht="12.75">
      <c r="A35" s="2"/>
      <c r="B35" s="2"/>
      <c r="C35" s="2"/>
      <c r="D35" s="2"/>
      <c r="E35" s="2"/>
      <c r="F35" s="2"/>
      <c r="G35" s="2"/>
      <c r="H35" s="2"/>
      <c r="I35" s="2"/>
      <c r="J35" s="2"/>
      <c r="K35" s="2"/>
      <c r="L35" s="107">
        <f>L34</f>
        <v>411.9552371889702</v>
      </c>
      <c r="M35" s="108">
        <f>IF(Computation!F49=0,0,1)</f>
        <v>1</v>
      </c>
      <c r="N35" s="240">
        <f t="shared" si="3"/>
        <v>4</v>
      </c>
      <c r="O35" s="2"/>
      <c r="P35" s="107">
        <f>P34</f>
        <v>411.9552371889702</v>
      </c>
      <c r="Q35" s="106">
        <f>IF(Computation!F68=0,0,1)</f>
        <v>1</v>
      </c>
      <c r="R35" s="242">
        <f t="shared" si="4"/>
        <v>12</v>
      </c>
      <c r="S35" s="2"/>
      <c r="T35" s="107">
        <f>T34</f>
        <v>411.9552371889702</v>
      </c>
      <c r="U35" s="108">
        <f>IF(Computation!F87=0,0,1)</f>
        <v>1</v>
      </c>
      <c r="V35" s="240">
        <f t="shared" si="5"/>
        <v>20</v>
      </c>
      <c r="W35" s="2"/>
      <c r="X35" s="107">
        <f>X34</f>
        <v>411.9552371889702</v>
      </c>
      <c r="Y35" s="109">
        <f>IF(Computation!F106=0,0,1)</f>
        <v>1</v>
      </c>
      <c r="Z35" s="240">
        <f t="shared" si="6"/>
        <v>28</v>
      </c>
      <c r="AA35" s="2"/>
      <c r="AB35" s="107">
        <f>AB34</f>
        <v>411.9552371889702</v>
      </c>
      <c r="AC35" s="108">
        <f>IF(Computation!F125=0,0,1)</f>
        <v>1</v>
      </c>
      <c r="AD35" s="240">
        <f t="shared" si="7"/>
        <v>36</v>
      </c>
      <c r="AE35" s="2"/>
      <c r="AF35" s="107">
        <f>AF34</f>
        <v>411.9552371889702</v>
      </c>
      <c r="AG35" s="108">
        <f>IF(Computation!F144=0,0,1)</f>
        <v>1</v>
      </c>
      <c r="AH35" s="240">
        <f t="shared" si="8"/>
        <v>44</v>
      </c>
      <c r="AI35" s="2"/>
      <c r="AJ35" s="107">
        <f>AJ34</f>
        <v>411.9552371889702</v>
      </c>
      <c r="AK35" s="108">
        <f>IF(Computation!F163=0,0,1)</f>
        <v>1</v>
      </c>
      <c r="AL35" s="240">
        <f t="shared" si="9"/>
        <v>52</v>
      </c>
      <c r="AM35" s="111"/>
      <c r="AN35" s="107">
        <f>AN34</f>
        <v>411.9552371889702</v>
      </c>
      <c r="AO35" s="108">
        <f>IF(Computation!F182=0,0,1)</f>
        <v>0</v>
      </c>
      <c r="AP35" s="240">
        <f t="shared" si="10"/>
        <v>56</v>
      </c>
      <c r="AQ35" s="111"/>
      <c r="AR35" s="107">
        <f>AR34</f>
        <v>411.9552371889702</v>
      </c>
      <c r="AS35" s="108">
        <f>IF(Computation!F201=0,0,1)</f>
        <v>0</v>
      </c>
      <c r="AT35" s="240">
        <f t="shared" si="11"/>
        <v>64</v>
      </c>
      <c r="AV35" s="107">
        <f>AV34</f>
        <v>411.9552371889702</v>
      </c>
      <c r="AW35" s="108">
        <f>IF(Computation!F220=0,0,1)</f>
        <v>0</v>
      </c>
      <c r="AX35" s="240">
        <f t="shared" si="12"/>
        <v>72</v>
      </c>
    </row>
    <row r="36" spans="1:50" ht="12.75">
      <c r="A36" s="2"/>
      <c r="B36" s="2"/>
      <c r="C36" s="2"/>
      <c r="D36" s="2"/>
      <c r="E36" s="2"/>
      <c r="F36" s="2"/>
      <c r="G36" s="2"/>
      <c r="H36" s="2"/>
      <c r="I36" s="2"/>
      <c r="J36" s="2"/>
      <c r="K36" s="2"/>
      <c r="L36" s="107">
        <f>L35+Computation!F49</f>
        <v>425.2151475544799</v>
      </c>
      <c r="M36" s="108">
        <f>M35</f>
        <v>1</v>
      </c>
      <c r="N36" s="240">
        <f t="shared" si="3"/>
        <v>4</v>
      </c>
      <c r="O36" s="2"/>
      <c r="P36" s="107">
        <f>P35+Computation!F68</f>
        <v>426.2024312241878</v>
      </c>
      <c r="Q36" s="106">
        <f>Q35</f>
        <v>1</v>
      </c>
      <c r="R36" s="242">
        <f t="shared" si="4"/>
        <v>12</v>
      </c>
      <c r="S36" s="2"/>
      <c r="T36" s="107">
        <f>T35+Computation!F87</f>
        <v>426.48344492153683</v>
      </c>
      <c r="U36" s="108">
        <f>U35</f>
        <v>1</v>
      </c>
      <c r="V36" s="240">
        <f t="shared" si="5"/>
        <v>20</v>
      </c>
      <c r="W36" s="2"/>
      <c r="X36" s="107">
        <f>X35+Computation!F106</f>
        <v>426.0975360570834</v>
      </c>
      <c r="Y36" s="109">
        <f>Y35</f>
        <v>1</v>
      </c>
      <c r="Z36" s="240">
        <f t="shared" si="6"/>
        <v>28</v>
      </c>
      <c r="AA36" s="2"/>
      <c r="AB36" s="107">
        <f>AB35+Computation!F125</f>
        <v>424.98983636392796</v>
      </c>
      <c r="AC36" s="108">
        <f>AC35</f>
        <v>1</v>
      </c>
      <c r="AD36" s="240">
        <f t="shared" si="7"/>
        <v>36</v>
      </c>
      <c r="AE36" s="2"/>
      <c r="AF36" s="107">
        <f>AF35+Computation!F144</f>
        <v>422.9616503208567</v>
      </c>
      <c r="AG36" s="108">
        <f>AG35</f>
        <v>1</v>
      </c>
      <c r="AH36" s="240">
        <f t="shared" si="8"/>
        <v>44</v>
      </c>
      <c r="AI36" s="2"/>
      <c r="AJ36" s="107">
        <f>AJ35+Computation!F163</f>
        <v>419.3457355963896</v>
      </c>
      <c r="AK36" s="108">
        <f>AK35</f>
        <v>1</v>
      </c>
      <c r="AL36" s="240">
        <f t="shared" si="9"/>
        <v>52</v>
      </c>
      <c r="AM36" s="111"/>
      <c r="AN36" s="107">
        <f>AN35+Computation!F182</f>
        <v>411.9552371889702</v>
      </c>
      <c r="AO36" s="108">
        <f>AO35</f>
        <v>0</v>
      </c>
      <c r="AP36" s="240">
        <f t="shared" si="10"/>
        <v>56</v>
      </c>
      <c r="AQ36" s="111"/>
      <c r="AR36" s="107">
        <f>AR35+Computation!F201</f>
        <v>411.9552371889702</v>
      </c>
      <c r="AS36" s="108">
        <f>AS35</f>
        <v>0</v>
      </c>
      <c r="AT36" s="240">
        <f t="shared" si="11"/>
        <v>64</v>
      </c>
      <c r="AV36" s="107">
        <f>AV35+Computation!F220</f>
        <v>411.9552371889702</v>
      </c>
      <c r="AW36" s="108">
        <f>AW35</f>
        <v>0</v>
      </c>
      <c r="AX36" s="240">
        <f t="shared" si="12"/>
        <v>72</v>
      </c>
    </row>
    <row r="37" spans="1:50" ht="12.75">
      <c r="A37" s="2"/>
      <c r="B37" s="2"/>
      <c r="C37" s="2"/>
      <c r="D37" s="2"/>
      <c r="E37" s="2"/>
      <c r="F37" s="2"/>
      <c r="G37" s="2"/>
      <c r="H37" s="2"/>
      <c r="I37" s="2"/>
      <c r="J37" s="2"/>
      <c r="K37" s="2"/>
      <c r="L37" s="107">
        <f>L36</f>
        <v>425.2151475544799</v>
      </c>
      <c r="M37" s="108">
        <v>0</v>
      </c>
      <c r="N37" s="240">
        <f t="shared" si="3"/>
        <v>0</v>
      </c>
      <c r="O37" s="2"/>
      <c r="P37" s="107">
        <f>P36</f>
        <v>426.2024312241878</v>
      </c>
      <c r="Q37" s="106">
        <v>0</v>
      </c>
      <c r="R37" s="242">
        <f t="shared" si="4"/>
        <v>8</v>
      </c>
      <c r="S37" s="2"/>
      <c r="T37" s="107">
        <f>T36</f>
        <v>426.48344492153683</v>
      </c>
      <c r="U37" s="108">
        <v>0</v>
      </c>
      <c r="V37" s="240">
        <f t="shared" si="5"/>
        <v>16</v>
      </c>
      <c r="W37" s="2"/>
      <c r="X37" s="107">
        <f>X36</f>
        <v>426.0975360570834</v>
      </c>
      <c r="Y37" s="109">
        <v>0</v>
      </c>
      <c r="Z37" s="240">
        <f t="shared" si="6"/>
        <v>24</v>
      </c>
      <c r="AA37" s="2"/>
      <c r="AB37" s="107">
        <f>AB36</f>
        <v>424.98983636392796</v>
      </c>
      <c r="AC37" s="108">
        <v>0</v>
      </c>
      <c r="AD37" s="240">
        <f t="shared" si="7"/>
        <v>32</v>
      </c>
      <c r="AE37" s="2"/>
      <c r="AF37" s="107">
        <f>AF36</f>
        <v>422.9616503208567</v>
      </c>
      <c r="AG37" s="108">
        <v>0</v>
      </c>
      <c r="AH37" s="240">
        <f t="shared" si="8"/>
        <v>40</v>
      </c>
      <c r="AI37" s="2"/>
      <c r="AJ37" s="107">
        <f>AJ36</f>
        <v>419.3457355963896</v>
      </c>
      <c r="AK37" s="108">
        <v>0</v>
      </c>
      <c r="AL37" s="240">
        <f t="shared" si="9"/>
        <v>48</v>
      </c>
      <c r="AM37" s="111"/>
      <c r="AN37" s="107">
        <f>AN36</f>
        <v>411.9552371889702</v>
      </c>
      <c r="AO37" s="108">
        <v>0</v>
      </c>
      <c r="AP37" s="240">
        <f t="shared" si="10"/>
        <v>56</v>
      </c>
      <c r="AQ37" s="111"/>
      <c r="AR37" s="107">
        <f>AR36</f>
        <v>411.9552371889702</v>
      </c>
      <c r="AS37" s="108">
        <v>0</v>
      </c>
      <c r="AT37" s="240">
        <f t="shared" si="11"/>
        <v>64</v>
      </c>
      <c r="AV37" s="107">
        <f>AV36</f>
        <v>411.9552371889702</v>
      </c>
      <c r="AW37" s="108">
        <v>0</v>
      </c>
      <c r="AX37" s="240">
        <f t="shared" si="12"/>
        <v>72</v>
      </c>
    </row>
    <row r="38" spans="1:50" ht="12.75">
      <c r="A38" s="2"/>
      <c r="B38" s="2"/>
      <c r="C38" s="2"/>
      <c r="D38" s="2"/>
      <c r="E38" s="2"/>
      <c r="F38" s="2"/>
      <c r="G38" s="2"/>
      <c r="H38" s="2"/>
      <c r="I38" s="2"/>
      <c r="J38" s="2"/>
      <c r="K38" s="2"/>
      <c r="L38" s="194">
        <f>Computation!B50</f>
        <v>514.9440464862128</v>
      </c>
      <c r="M38" s="195">
        <v>0</v>
      </c>
      <c r="N38" s="246">
        <f t="shared" si="3"/>
        <v>0</v>
      </c>
      <c r="O38" s="2"/>
      <c r="P38" s="194">
        <f>Computation!B69</f>
        <v>514.9440464862128</v>
      </c>
      <c r="Q38" s="197">
        <v>0</v>
      </c>
      <c r="R38" s="247">
        <f t="shared" si="4"/>
        <v>8</v>
      </c>
      <c r="S38" s="2"/>
      <c r="T38" s="194">
        <f>Computation!B88</f>
        <v>514.9440464862128</v>
      </c>
      <c r="U38" s="195">
        <v>0</v>
      </c>
      <c r="V38" s="246">
        <f t="shared" si="5"/>
        <v>16</v>
      </c>
      <c r="W38" s="2"/>
      <c r="X38" s="194">
        <f>Computation!B107</f>
        <v>514.9440464862128</v>
      </c>
      <c r="Y38" s="211">
        <v>0</v>
      </c>
      <c r="Z38" s="246">
        <f t="shared" si="6"/>
        <v>24</v>
      </c>
      <c r="AA38" s="2"/>
      <c r="AB38" s="194">
        <f>Computation!B126</f>
        <v>514.9440464862128</v>
      </c>
      <c r="AC38" s="195">
        <v>0</v>
      </c>
      <c r="AD38" s="246">
        <f t="shared" si="7"/>
        <v>32</v>
      </c>
      <c r="AE38" s="2"/>
      <c r="AF38" s="194">
        <f>Computation!B145</f>
        <v>514.9440464862128</v>
      </c>
      <c r="AG38" s="195">
        <v>0</v>
      </c>
      <c r="AH38" s="246">
        <f t="shared" si="8"/>
        <v>40</v>
      </c>
      <c r="AI38" s="2"/>
      <c r="AJ38" s="194">
        <f>Computation!B164</f>
        <v>514.9440464862128</v>
      </c>
      <c r="AK38" s="195">
        <v>0</v>
      </c>
      <c r="AL38" s="246">
        <f t="shared" si="9"/>
        <v>48</v>
      </c>
      <c r="AM38" s="111"/>
      <c r="AN38" s="194">
        <f>Computation!B183</f>
        <v>514.9440464862128</v>
      </c>
      <c r="AO38" s="195">
        <v>0</v>
      </c>
      <c r="AP38" s="246">
        <f t="shared" si="10"/>
        <v>56</v>
      </c>
      <c r="AQ38" s="111"/>
      <c r="AR38" s="194">
        <f>Computation!B202</f>
        <v>514.9440464862128</v>
      </c>
      <c r="AS38" s="195">
        <v>0</v>
      </c>
      <c r="AT38" s="246">
        <f t="shared" si="11"/>
        <v>64</v>
      </c>
      <c r="AV38" s="194">
        <f>Computation!B221</f>
        <v>514.9440464862128</v>
      </c>
      <c r="AW38" s="195">
        <v>0</v>
      </c>
      <c r="AX38" s="246">
        <f t="shared" si="12"/>
        <v>72</v>
      </c>
    </row>
    <row r="39" spans="1:50" ht="12.75">
      <c r="A39" s="2"/>
      <c r="B39" s="2"/>
      <c r="C39" s="2"/>
      <c r="D39" s="2"/>
      <c r="E39" s="2"/>
      <c r="F39" s="2"/>
      <c r="G39" s="2"/>
      <c r="H39" s="2"/>
      <c r="I39" s="2"/>
      <c r="J39" s="2"/>
      <c r="K39" s="2"/>
      <c r="L39" s="194">
        <f>L38</f>
        <v>514.9440464862128</v>
      </c>
      <c r="M39" s="195">
        <f>IF(Computation!F50=0,0,1)</f>
        <v>0</v>
      </c>
      <c r="N39" s="246">
        <f t="shared" si="3"/>
        <v>0</v>
      </c>
      <c r="O39" s="2"/>
      <c r="P39" s="194">
        <f>P38</f>
        <v>514.9440464862128</v>
      </c>
      <c r="Q39" s="197">
        <f>IF(Computation!F69=0,0,1)</f>
        <v>1</v>
      </c>
      <c r="R39" s="247">
        <f t="shared" si="4"/>
        <v>12</v>
      </c>
      <c r="S39" s="2"/>
      <c r="T39" s="194">
        <f>T38</f>
        <v>514.9440464862128</v>
      </c>
      <c r="U39" s="195">
        <f>IF(Computation!F88=0,0,1)</f>
        <v>1</v>
      </c>
      <c r="V39" s="246">
        <f t="shared" si="5"/>
        <v>20</v>
      </c>
      <c r="W39" s="2"/>
      <c r="X39" s="194">
        <f>X38</f>
        <v>514.9440464862128</v>
      </c>
      <c r="Y39" s="211">
        <f>IF(Computation!F107=0,0,1)</f>
        <v>1</v>
      </c>
      <c r="Z39" s="246">
        <f t="shared" si="6"/>
        <v>28</v>
      </c>
      <c r="AA39" s="2"/>
      <c r="AB39" s="194">
        <f>AB38</f>
        <v>514.9440464862128</v>
      </c>
      <c r="AC39" s="195">
        <f>IF(Computation!F126=0,0,1)</f>
        <v>1</v>
      </c>
      <c r="AD39" s="246">
        <f t="shared" si="7"/>
        <v>36</v>
      </c>
      <c r="AE39" s="2"/>
      <c r="AF39" s="194">
        <f>AF38</f>
        <v>514.9440464862128</v>
      </c>
      <c r="AG39" s="195">
        <f>IF(Computation!F145=0,0,1)</f>
        <v>1</v>
      </c>
      <c r="AH39" s="246">
        <f t="shared" si="8"/>
        <v>44</v>
      </c>
      <c r="AI39" s="2"/>
      <c r="AJ39" s="194">
        <f>AJ38</f>
        <v>514.9440464862128</v>
      </c>
      <c r="AK39" s="195">
        <f>IF(Computation!F164=0,0,1)</f>
        <v>1</v>
      </c>
      <c r="AL39" s="246">
        <f t="shared" si="9"/>
        <v>52</v>
      </c>
      <c r="AM39" s="111"/>
      <c r="AN39" s="194">
        <f>AN38</f>
        <v>514.9440464862128</v>
      </c>
      <c r="AO39" s="195">
        <f>IF(Computation!F183=0,0,1)</f>
        <v>1</v>
      </c>
      <c r="AP39" s="246">
        <f t="shared" si="10"/>
        <v>60</v>
      </c>
      <c r="AQ39" s="111"/>
      <c r="AR39" s="194">
        <f>AR38</f>
        <v>514.9440464862128</v>
      </c>
      <c r="AS39" s="195">
        <f>IF(Computation!F202=0,0,1)</f>
        <v>1</v>
      </c>
      <c r="AT39" s="246">
        <f t="shared" si="11"/>
        <v>68</v>
      </c>
      <c r="AV39" s="194">
        <f>AV38</f>
        <v>514.9440464862128</v>
      </c>
      <c r="AW39" s="195">
        <f>IF(Computation!F221=0,0,1)</f>
        <v>0</v>
      </c>
      <c r="AX39" s="246">
        <f t="shared" si="12"/>
        <v>72</v>
      </c>
    </row>
    <row r="40" spans="1:50" ht="12.75">
      <c r="A40" s="2"/>
      <c r="B40" s="2"/>
      <c r="C40" s="2"/>
      <c r="D40" s="2"/>
      <c r="E40" s="2"/>
      <c r="F40" s="2"/>
      <c r="G40" s="2"/>
      <c r="H40" s="2"/>
      <c r="I40" s="2"/>
      <c r="J40" s="2"/>
      <c r="K40" s="2"/>
      <c r="L40" s="194">
        <f>L39+Computation!F50</f>
        <v>514.9440464862128</v>
      </c>
      <c r="M40" s="195">
        <f>M39</f>
        <v>0</v>
      </c>
      <c r="N40" s="246">
        <f t="shared" si="3"/>
        <v>0</v>
      </c>
      <c r="O40" s="2"/>
      <c r="P40" s="194">
        <f>P39+Computation!F69</f>
        <v>519.6360328135407</v>
      </c>
      <c r="Q40" s="197">
        <f>Q39</f>
        <v>1</v>
      </c>
      <c r="R40" s="247">
        <f t="shared" si="4"/>
        <v>12</v>
      </c>
      <c r="S40" s="2"/>
      <c r="T40" s="194">
        <f>T39+Computation!F88</f>
        <v>525.5641521551082</v>
      </c>
      <c r="U40" s="195">
        <f>U39</f>
        <v>1</v>
      </c>
      <c r="V40" s="246">
        <f t="shared" si="5"/>
        <v>20</v>
      </c>
      <c r="W40" s="2"/>
      <c r="X40" s="194">
        <f>X39+Computation!F107</f>
        <v>528.1186911533906</v>
      </c>
      <c r="Y40" s="211">
        <f>Y39</f>
        <v>1</v>
      </c>
      <c r="Z40" s="246">
        <f t="shared" si="6"/>
        <v>28</v>
      </c>
      <c r="AA40" s="2"/>
      <c r="AB40" s="194">
        <f>AB39+Computation!F126</f>
        <v>529.2792033801619</v>
      </c>
      <c r="AC40" s="195">
        <f>AC39</f>
        <v>1</v>
      </c>
      <c r="AD40" s="246">
        <f t="shared" si="7"/>
        <v>36</v>
      </c>
      <c r="AE40" s="2"/>
      <c r="AF40" s="194">
        <f>AF39+Computation!F145</f>
        <v>529.4095963034536</v>
      </c>
      <c r="AG40" s="195">
        <f>AG39</f>
        <v>1</v>
      </c>
      <c r="AH40" s="246">
        <f t="shared" si="8"/>
        <v>44</v>
      </c>
      <c r="AI40" s="2"/>
      <c r="AJ40" s="194">
        <f>AJ39+Computation!F164</f>
        <v>528.5426685411924</v>
      </c>
      <c r="AK40" s="195">
        <f>AK39</f>
        <v>1</v>
      </c>
      <c r="AL40" s="246">
        <f t="shared" si="9"/>
        <v>52</v>
      </c>
      <c r="AM40" s="111"/>
      <c r="AN40" s="194">
        <f>AN39+Computation!F183</f>
        <v>526.4319388561335</v>
      </c>
      <c r="AO40" s="195">
        <f>AO39</f>
        <v>1</v>
      </c>
      <c r="AP40" s="246">
        <f t="shared" si="10"/>
        <v>60</v>
      </c>
      <c r="AQ40" s="111"/>
      <c r="AR40" s="194">
        <f>AR39+Computation!F202</f>
        <v>521.9698348839719</v>
      </c>
      <c r="AS40" s="195">
        <f>AS39</f>
        <v>1</v>
      </c>
      <c r="AT40" s="246">
        <f t="shared" si="11"/>
        <v>68</v>
      </c>
      <c r="AV40" s="194">
        <f>AV39+Computation!F221</f>
        <v>514.9440464862128</v>
      </c>
      <c r="AW40" s="195">
        <f>AW39</f>
        <v>0</v>
      </c>
      <c r="AX40" s="246">
        <f t="shared" si="12"/>
        <v>72</v>
      </c>
    </row>
    <row r="41" spans="1:50" ht="12.75">
      <c r="A41" s="2"/>
      <c r="B41" s="2"/>
      <c r="C41" s="2"/>
      <c r="D41" s="2"/>
      <c r="E41" s="2"/>
      <c r="F41" s="2"/>
      <c r="G41" s="2"/>
      <c r="H41" s="2"/>
      <c r="I41" s="2"/>
      <c r="J41" s="2"/>
      <c r="K41" s="2"/>
      <c r="L41" s="194">
        <f>L40</f>
        <v>514.9440464862128</v>
      </c>
      <c r="M41" s="195">
        <v>0</v>
      </c>
      <c r="N41" s="246">
        <f t="shared" si="3"/>
        <v>0</v>
      </c>
      <c r="O41" s="2"/>
      <c r="P41" s="194">
        <f>P40</f>
        <v>519.6360328135407</v>
      </c>
      <c r="Q41" s="197">
        <v>0</v>
      </c>
      <c r="R41" s="247">
        <f t="shared" si="4"/>
        <v>8</v>
      </c>
      <c r="S41" s="2"/>
      <c r="T41" s="194">
        <f>T40</f>
        <v>525.5641521551082</v>
      </c>
      <c r="U41" s="195">
        <v>0</v>
      </c>
      <c r="V41" s="246">
        <f t="shared" si="5"/>
        <v>16</v>
      </c>
      <c r="W41" s="2"/>
      <c r="X41" s="194">
        <f>X40</f>
        <v>528.1186911533906</v>
      </c>
      <c r="Y41" s="211">
        <v>0</v>
      </c>
      <c r="Z41" s="246">
        <f t="shared" si="6"/>
        <v>24</v>
      </c>
      <c r="AA41" s="2"/>
      <c r="AB41" s="194">
        <f>AB40</f>
        <v>529.2792033801619</v>
      </c>
      <c r="AC41" s="195">
        <v>0</v>
      </c>
      <c r="AD41" s="246">
        <f t="shared" si="7"/>
        <v>32</v>
      </c>
      <c r="AE41" s="2"/>
      <c r="AF41" s="194">
        <f>AF40</f>
        <v>529.4095963034536</v>
      </c>
      <c r="AG41" s="195">
        <v>0</v>
      </c>
      <c r="AH41" s="246">
        <f t="shared" si="8"/>
        <v>40</v>
      </c>
      <c r="AI41" s="2"/>
      <c r="AJ41" s="194">
        <f>AJ40</f>
        <v>528.5426685411924</v>
      </c>
      <c r="AK41" s="195">
        <v>0</v>
      </c>
      <c r="AL41" s="246">
        <f t="shared" si="9"/>
        <v>48</v>
      </c>
      <c r="AM41" s="111"/>
      <c r="AN41" s="194">
        <f>AN40</f>
        <v>526.4319388561335</v>
      </c>
      <c r="AO41" s="195">
        <v>0</v>
      </c>
      <c r="AP41" s="246">
        <f t="shared" si="10"/>
        <v>56</v>
      </c>
      <c r="AQ41" s="111"/>
      <c r="AR41" s="194">
        <f>AR40</f>
        <v>521.9698348839719</v>
      </c>
      <c r="AS41" s="195">
        <v>0</v>
      </c>
      <c r="AT41" s="246">
        <f t="shared" si="11"/>
        <v>64</v>
      </c>
      <c r="AV41" s="194">
        <f>AV40</f>
        <v>514.9440464862128</v>
      </c>
      <c r="AW41" s="195">
        <v>0</v>
      </c>
      <c r="AX41" s="246">
        <f t="shared" si="12"/>
        <v>72</v>
      </c>
    </row>
    <row r="42" spans="1:50" ht="12.75">
      <c r="A42" s="2"/>
      <c r="B42" s="2"/>
      <c r="C42" s="2"/>
      <c r="D42" s="2"/>
      <c r="E42" s="2"/>
      <c r="F42" s="2"/>
      <c r="G42" s="2"/>
      <c r="H42" s="2"/>
      <c r="I42" s="2"/>
      <c r="J42" s="2"/>
      <c r="K42" s="2"/>
      <c r="L42" s="107">
        <f>Computation!B51</f>
        <v>617.9328557834554</v>
      </c>
      <c r="M42" s="108">
        <v>0</v>
      </c>
      <c r="N42" s="240">
        <f t="shared" si="3"/>
        <v>0</v>
      </c>
      <c r="O42" s="2"/>
      <c r="P42" s="107">
        <f>Computation!B70</f>
        <v>617.9328557834554</v>
      </c>
      <c r="Q42" s="106">
        <v>0</v>
      </c>
      <c r="R42" s="242">
        <f t="shared" si="4"/>
        <v>8</v>
      </c>
      <c r="S42" s="2"/>
      <c r="T42" s="107">
        <f>Computation!B89</f>
        <v>617.9328557834554</v>
      </c>
      <c r="U42" s="108">
        <v>0</v>
      </c>
      <c r="V42" s="240">
        <f t="shared" si="5"/>
        <v>16</v>
      </c>
      <c r="W42" s="2"/>
      <c r="X42" s="107">
        <f>Computation!B108</f>
        <v>617.9328557834554</v>
      </c>
      <c r="Y42" s="109">
        <v>0</v>
      </c>
      <c r="Z42" s="240">
        <f t="shared" si="6"/>
        <v>24</v>
      </c>
      <c r="AA42" s="2"/>
      <c r="AB42" s="107">
        <f>Computation!B127</f>
        <v>617.9328557834554</v>
      </c>
      <c r="AC42" s="108">
        <v>0</v>
      </c>
      <c r="AD42" s="240">
        <f t="shared" si="7"/>
        <v>32</v>
      </c>
      <c r="AE42" s="2"/>
      <c r="AF42" s="107">
        <f>Computation!B146</f>
        <v>617.9328557834554</v>
      </c>
      <c r="AG42" s="108">
        <v>0</v>
      </c>
      <c r="AH42" s="240">
        <f t="shared" si="8"/>
        <v>40</v>
      </c>
      <c r="AI42" s="2"/>
      <c r="AJ42" s="107">
        <f>Computation!B165</f>
        <v>617.9328557834554</v>
      </c>
      <c r="AK42" s="108">
        <v>0</v>
      </c>
      <c r="AL42" s="240">
        <f t="shared" si="9"/>
        <v>48</v>
      </c>
      <c r="AM42" s="111"/>
      <c r="AN42" s="107">
        <f>Computation!B184</f>
        <v>617.9328557834554</v>
      </c>
      <c r="AO42" s="108">
        <v>0</v>
      </c>
      <c r="AP42" s="240">
        <f t="shared" si="10"/>
        <v>56</v>
      </c>
      <c r="AQ42" s="111"/>
      <c r="AR42" s="107">
        <f>Computation!B203</f>
        <v>617.9328557834554</v>
      </c>
      <c r="AS42" s="108">
        <v>0</v>
      </c>
      <c r="AT42" s="240">
        <f t="shared" si="11"/>
        <v>64</v>
      </c>
      <c r="AV42" s="107">
        <f>Computation!B222</f>
        <v>617.9328557834554</v>
      </c>
      <c r="AW42" s="108">
        <v>0</v>
      </c>
      <c r="AX42" s="240">
        <f t="shared" si="12"/>
        <v>72</v>
      </c>
    </row>
    <row r="43" spans="1:50" ht="12.75">
      <c r="A43" s="2"/>
      <c r="B43" s="2"/>
      <c r="C43" s="2"/>
      <c r="D43" s="2"/>
      <c r="E43" s="2"/>
      <c r="F43" s="2"/>
      <c r="G43" s="2"/>
      <c r="H43" s="2"/>
      <c r="I43" s="2"/>
      <c r="J43" s="2"/>
      <c r="K43" s="2"/>
      <c r="L43" s="107">
        <f>L42</f>
        <v>617.9328557834554</v>
      </c>
      <c r="M43" s="108">
        <f>IF(Computation!F51=0,0,1)</f>
        <v>0</v>
      </c>
      <c r="N43" s="240">
        <f t="shared" si="3"/>
        <v>0</v>
      </c>
      <c r="O43" s="2"/>
      <c r="P43" s="107">
        <f>P42</f>
        <v>617.9328557834554</v>
      </c>
      <c r="Q43" s="106">
        <f>IF(Computation!F70=0,0,1)</f>
        <v>0</v>
      </c>
      <c r="R43" s="242">
        <f t="shared" si="4"/>
        <v>8</v>
      </c>
      <c r="S43" s="2"/>
      <c r="T43" s="107">
        <f>T42</f>
        <v>617.9328557834554</v>
      </c>
      <c r="U43" s="108">
        <f>IF(Computation!F89=0,0,1)</f>
        <v>0</v>
      </c>
      <c r="V43" s="240">
        <f t="shared" si="5"/>
        <v>16</v>
      </c>
      <c r="W43" s="2"/>
      <c r="X43" s="107">
        <f>X42</f>
        <v>617.9328557834554</v>
      </c>
      <c r="Y43" s="109">
        <f>IF(Computation!F108=0,0,1)</f>
        <v>1</v>
      </c>
      <c r="Z43" s="240">
        <f t="shared" si="6"/>
        <v>28</v>
      </c>
      <c r="AA43" s="2"/>
      <c r="AB43" s="107">
        <f>AB42</f>
        <v>617.9328557834554</v>
      </c>
      <c r="AC43" s="108">
        <f>IF(Computation!F127=0,0,1)</f>
        <v>1</v>
      </c>
      <c r="AD43" s="240">
        <f t="shared" si="7"/>
        <v>36</v>
      </c>
      <c r="AE43" s="2"/>
      <c r="AF43" s="107">
        <f>AF42</f>
        <v>617.9328557834554</v>
      </c>
      <c r="AG43" s="108">
        <f>IF(Computation!F146=0,0,1)</f>
        <v>1</v>
      </c>
      <c r="AH43" s="240">
        <f t="shared" si="8"/>
        <v>44</v>
      </c>
      <c r="AI43" s="2"/>
      <c r="AJ43" s="107">
        <f>AJ42</f>
        <v>617.9328557834554</v>
      </c>
      <c r="AK43" s="108">
        <f>IF(Computation!F165=0,0,1)</f>
        <v>1</v>
      </c>
      <c r="AL43" s="240">
        <f t="shared" si="9"/>
        <v>52</v>
      </c>
      <c r="AM43" s="111"/>
      <c r="AN43" s="107">
        <f>AN42</f>
        <v>617.9328557834554</v>
      </c>
      <c r="AO43" s="108">
        <f>IF(Computation!F184=0,0,1)</f>
        <v>1</v>
      </c>
      <c r="AP43" s="240">
        <f t="shared" si="10"/>
        <v>60</v>
      </c>
      <c r="AQ43" s="111"/>
      <c r="AR43" s="107">
        <f>AR42</f>
        <v>617.9328557834554</v>
      </c>
      <c r="AS43" s="108">
        <f>IF(Computation!F203=0,0,1)</f>
        <v>1</v>
      </c>
      <c r="AT43" s="240">
        <f t="shared" si="11"/>
        <v>68</v>
      </c>
      <c r="AV43" s="107">
        <f>AV42</f>
        <v>617.9328557834554</v>
      </c>
      <c r="AW43" s="108">
        <f>IF(Computation!F222=0,0,1)</f>
        <v>1</v>
      </c>
      <c r="AX43" s="240">
        <f t="shared" si="12"/>
        <v>76</v>
      </c>
    </row>
    <row r="44" spans="1:50" ht="12.75">
      <c r="A44" s="2"/>
      <c r="B44" s="2"/>
      <c r="C44" s="2"/>
      <c r="D44" s="2"/>
      <c r="E44" s="2"/>
      <c r="F44" s="2"/>
      <c r="G44" s="2"/>
      <c r="H44" s="2"/>
      <c r="I44" s="2"/>
      <c r="J44" s="2"/>
      <c r="K44" s="2"/>
      <c r="L44" s="107">
        <f>L43+Computation!F51</f>
        <v>617.9328557834554</v>
      </c>
      <c r="M44" s="108">
        <f>M43</f>
        <v>0</v>
      </c>
      <c r="N44" s="240">
        <f t="shared" si="3"/>
        <v>0</v>
      </c>
      <c r="O44" s="2"/>
      <c r="P44" s="107">
        <f>P43+Computation!F70</f>
        <v>617.9328557834554</v>
      </c>
      <c r="Q44" s="106">
        <f>Q43</f>
        <v>0</v>
      </c>
      <c r="R44" s="242">
        <f t="shared" si="4"/>
        <v>8</v>
      </c>
      <c r="S44" s="2"/>
      <c r="T44" s="107">
        <f>T43+Computation!F89</f>
        <v>617.9328557834554</v>
      </c>
      <c r="U44" s="108">
        <f>U43</f>
        <v>0</v>
      </c>
      <c r="V44" s="240">
        <f t="shared" si="5"/>
        <v>16</v>
      </c>
      <c r="W44" s="2"/>
      <c r="X44" s="107">
        <f>X43+Computation!F108</f>
        <v>624.1313944478912</v>
      </c>
      <c r="Y44" s="109">
        <f>Y43</f>
        <v>1</v>
      </c>
      <c r="Z44" s="240">
        <f t="shared" si="6"/>
        <v>28</v>
      </c>
      <c r="AA44" s="2"/>
      <c r="AB44" s="107">
        <f>AB43+Computation!F127</f>
        <v>629.6974912274248</v>
      </c>
      <c r="AC44" s="108">
        <f>AC43</f>
        <v>1</v>
      </c>
      <c r="AD44" s="240">
        <f t="shared" si="7"/>
        <v>36</v>
      </c>
      <c r="AE44" s="2"/>
      <c r="AF44" s="107">
        <f>AF43+Computation!F146</f>
        <v>631.8871164839073</v>
      </c>
      <c r="AG44" s="108">
        <f>AG43</f>
        <v>1</v>
      </c>
      <c r="AH44" s="240">
        <f t="shared" si="8"/>
        <v>44</v>
      </c>
      <c r="AI44" s="2"/>
      <c r="AJ44" s="107">
        <f>AJ43+Computation!F165</f>
        <v>632.458521621644</v>
      </c>
      <c r="AK44" s="108">
        <f>AK43</f>
        <v>1</v>
      </c>
      <c r="AL44" s="240">
        <f t="shared" si="9"/>
        <v>52</v>
      </c>
      <c r="AM44" s="111"/>
      <c r="AN44" s="107">
        <f>AN43+Computation!F184</f>
        <v>631.6535080126844</v>
      </c>
      <c r="AO44" s="108">
        <f>AO43</f>
        <v>1</v>
      </c>
      <c r="AP44" s="240">
        <f t="shared" si="10"/>
        <v>60</v>
      </c>
      <c r="AQ44" s="111"/>
      <c r="AR44" s="107">
        <f>AR43+Computation!F203</f>
        <v>629.1161111086565</v>
      </c>
      <c r="AS44" s="108">
        <f>AS43</f>
        <v>1</v>
      </c>
      <c r="AT44" s="240">
        <f t="shared" si="11"/>
        <v>68</v>
      </c>
      <c r="AV44" s="107">
        <f>AV43+Computation!F222</f>
        <v>622.0957025926681</v>
      </c>
      <c r="AW44" s="108">
        <f>AW43</f>
        <v>1</v>
      </c>
      <c r="AX44" s="240">
        <f t="shared" si="12"/>
        <v>76</v>
      </c>
    </row>
    <row r="45" spans="1:50" ht="12.75">
      <c r="A45" s="2"/>
      <c r="B45" s="2"/>
      <c r="C45" s="2"/>
      <c r="D45" s="2"/>
      <c r="E45" s="2"/>
      <c r="F45" s="2"/>
      <c r="G45" s="2"/>
      <c r="H45" s="2"/>
      <c r="I45" s="2"/>
      <c r="J45" s="2"/>
      <c r="K45" s="2"/>
      <c r="L45" s="107">
        <f>L44</f>
        <v>617.9328557834554</v>
      </c>
      <c r="M45" s="108">
        <v>0</v>
      </c>
      <c r="N45" s="240">
        <f t="shared" si="3"/>
        <v>0</v>
      </c>
      <c r="O45" s="2"/>
      <c r="P45" s="107">
        <f>P44</f>
        <v>617.9328557834554</v>
      </c>
      <c r="Q45" s="106">
        <v>0</v>
      </c>
      <c r="R45" s="242">
        <f t="shared" si="4"/>
        <v>8</v>
      </c>
      <c r="S45" s="2"/>
      <c r="T45" s="107">
        <f>T44</f>
        <v>617.9328557834554</v>
      </c>
      <c r="U45" s="108">
        <v>0</v>
      </c>
      <c r="V45" s="240">
        <f t="shared" si="5"/>
        <v>16</v>
      </c>
      <c r="W45" s="2"/>
      <c r="X45" s="107">
        <f>X44</f>
        <v>624.1313944478912</v>
      </c>
      <c r="Y45" s="109">
        <v>0</v>
      </c>
      <c r="Z45" s="240">
        <f t="shared" si="6"/>
        <v>24</v>
      </c>
      <c r="AA45" s="2"/>
      <c r="AB45" s="107">
        <f>AB44</f>
        <v>629.6974912274248</v>
      </c>
      <c r="AC45" s="108">
        <v>0</v>
      </c>
      <c r="AD45" s="240">
        <f t="shared" si="7"/>
        <v>32</v>
      </c>
      <c r="AE45" s="2"/>
      <c r="AF45" s="107">
        <f>AF44</f>
        <v>631.8871164839073</v>
      </c>
      <c r="AG45" s="108">
        <v>0</v>
      </c>
      <c r="AH45" s="240">
        <f t="shared" si="8"/>
        <v>40</v>
      </c>
      <c r="AI45" s="2"/>
      <c r="AJ45" s="107">
        <f>AJ44</f>
        <v>632.458521621644</v>
      </c>
      <c r="AK45" s="108">
        <v>0</v>
      </c>
      <c r="AL45" s="240">
        <f t="shared" si="9"/>
        <v>48</v>
      </c>
      <c r="AM45" s="111"/>
      <c r="AN45" s="107">
        <f>AN44</f>
        <v>631.6535080126844</v>
      </c>
      <c r="AO45" s="108">
        <v>0</v>
      </c>
      <c r="AP45" s="240">
        <f t="shared" si="10"/>
        <v>56</v>
      </c>
      <c r="AQ45" s="111"/>
      <c r="AR45" s="107">
        <f>AR44</f>
        <v>629.1161111086565</v>
      </c>
      <c r="AS45" s="108">
        <v>0</v>
      </c>
      <c r="AT45" s="240">
        <f t="shared" si="11"/>
        <v>64</v>
      </c>
      <c r="AV45" s="107">
        <f>AV44</f>
        <v>622.0957025926681</v>
      </c>
      <c r="AW45" s="108">
        <v>0</v>
      </c>
      <c r="AX45" s="240">
        <f t="shared" si="12"/>
        <v>72</v>
      </c>
    </row>
    <row r="46" spans="1:50" ht="12.75">
      <c r="A46" s="2"/>
      <c r="B46" s="2"/>
      <c r="C46" s="2"/>
      <c r="D46" s="2"/>
      <c r="E46" s="2"/>
      <c r="F46" s="2"/>
      <c r="G46" s="2"/>
      <c r="H46" s="2"/>
      <c r="I46" s="2"/>
      <c r="J46" s="2"/>
      <c r="K46" s="2"/>
      <c r="L46" s="194">
        <f>Computation!B52</f>
        <v>720.921665080698</v>
      </c>
      <c r="M46" s="195">
        <v>0</v>
      </c>
      <c r="N46" s="246">
        <f t="shared" si="3"/>
        <v>0</v>
      </c>
      <c r="O46" s="2"/>
      <c r="P46" s="194">
        <f>Computation!B71</f>
        <v>720.921665080698</v>
      </c>
      <c r="Q46" s="197">
        <v>0</v>
      </c>
      <c r="R46" s="247">
        <f t="shared" si="4"/>
        <v>8</v>
      </c>
      <c r="S46" s="2"/>
      <c r="T46" s="194">
        <f>Computation!B90</f>
        <v>720.921665080698</v>
      </c>
      <c r="U46" s="195">
        <v>0</v>
      </c>
      <c r="V46" s="246">
        <f t="shared" si="5"/>
        <v>16</v>
      </c>
      <c r="W46" s="2"/>
      <c r="X46" s="194">
        <f>Computation!B109</f>
        <v>720.921665080698</v>
      </c>
      <c r="Y46" s="211">
        <v>0</v>
      </c>
      <c r="Z46" s="246">
        <f t="shared" si="6"/>
        <v>24</v>
      </c>
      <c r="AA46" s="2"/>
      <c r="AB46" s="194">
        <f>Computation!B128</f>
        <v>720.921665080698</v>
      </c>
      <c r="AC46" s="195">
        <v>0</v>
      </c>
      <c r="AD46" s="246">
        <f t="shared" si="7"/>
        <v>32</v>
      </c>
      <c r="AE46" s="2"/>
      <c r="AF46" s="194">
        <f>Computation!B147</f>
        <v>720.921665080698</v>
      </c>
      <c r="AG46" s="195">
        <v>0</v>
      </c>
      <c r="AH46" s="246">
        <f t="shared" si="8"/>
        <v>40</v>
      </c>
      <c r="AI46" s="2"/>
      <c r="AJ46" s="194">
        <f>Computation!B166</f>
        <v>720.921665080698</v>
      </c>
      <c r="AK46" s="195">
        <v>0</v>
      </c>
      <c r="AL46" s="246">
        <f t="shared" si="9"/>
        <v>48</v>
      </c>
      <c r="AM46" s="111"/>
      <c r="AN46" s="194">
        <f>Computation!B185</f>
        <v>720.921665080698</v>
      </c>
      <c r="AO46" s="195">
        <v>0</v>
      </c>
      <c r="AP46" s="246">
        <f t="shared" si="10"/>
        <v>56</v>
      </c>
      <c r="AQ46" s="111"/>
      <c r="AR46" s="194">
        <f>Computation!B204</f>
        <v>720.921665080698</v>
      </c>
      <c r="AS46" s="195">
        <v>0</v>
      </c>
      <c r="AT46" s="246">
        <f t="shared" si="11"/>
        <v>64</v>
      </c>
      <c r="AV46" s="194">
        <f>Computation!B223</f>
        <v>720.921665080698</v>
      </c>
      <c r="AW46" s="195">
        <v>0</v>
      </c>
      <c r="AX46" s="246">
        <f t="shared" si="12"/>
        <v>72</v>
      </c>
    </row>
    <row r="47" spans="1:50" ht="12.75">
      <c r="A47" s="2"/>
      <c r="B47" s="2"/>
      <c r="C47" s="2"/>
      <c r="D47" s="2"/>
      <c r="E47" s="2"/>
      <c r="F47" s="2"/>
      <c r="G47" s="2"/>
      <c r="H47" s="2"/>
      <c r="I47" s="2"/>
      <c r="J47" s="2"/>
      <c r="K47" s="2"/>
      <c r="L47" s="194">
        <f>L46</f>
        <v>720.921665080698</v>
      </c>
      <c r="M47" s="195">
        <f>IF(Computation!F52=0,0,1)</f>
        <v>0</v>
      </c>
      <c r="N47" s="246">
        <f t="shared" si="3"/>
        <v>0</v>
      </c>
      <c r="O47" s="2"/>
      <c r="P47" s="194">
        <f>P46</f>
        <v>720.921665080698</v>
      </c>
      <c r="Q47" s="197">
        <f>IF(Computation!F71=0,0,1)</f>
        <v>0</v>
      </c>
      <c r="R47" s="247">
        <f t="shared" si="4"/>
        <v>8</v>
      </c>
      <c r="S47" s="2"/>
      <c r="T47" s="194">
        <f>T46</f>
        <v>720.921665080698</v>
      </c>
      <c r="U47" s="195">
        <f>IF(Computation!F90=0,0,1)</f>
        <v>0</v>
      </c>
      <c r="V47" s="246">
        <f t="shared" si="5"/>
        <v>16</v>
      </c>
      <c r="W47" s="2"/>
      <c r="X47" s="194">
        <f>X46</f>
        <v>720.921665080698</v>
      </c>
      <c r="Y47" s="211">
        <f>IF(Computation!F109=0,0,1)</f>
        <v>0</v>
      </c>
      <c r="Z47" s="246">
        <f t="shared" si="6"/>
        <v>24</v>
      </c>
      <c r="AA47" s="2"/>
      <c r="AB47" s="194">
        <f>AB46</f>
        <v>720.921665080698</v>
      </c>
      <c r="AC47" s="195">
        <f>IF(Computation!F128=0,0,1)</f>
        <v>1</v>
      </c>
      <c r="AD47" s="246">
        <f t="shared" si="7"/>
        <v>36</v>
      </c>
      <c r="AE47" s="2"/>
      <c r="AF47" s="194">
        <f>AF46</f>
        <v>720.921665080698</v>
      </c>
      <c r="AG47" s="195">
        <f>IF(Computation!F147=0,0,1)</f>
        <v>1</v>
      </c>
      <c r="AH47" s="246">
        <f t="shared" si="8"/>
        <v>44</v>
      </c>
      <c r="AI47" s="2"/>
      <c r="AJ47" s="194">
        <f>AJ46</f>
        <v>720.921665080698</v>
      </c>
      <c r="AK47" s="195">
        <f>IF(Computation!F166=0,0,1)</f>
        <v>1</v>
      </c>
      <c r="AL47" s="246">
        <f t="shared" si="9"/>
        <v>52</v>
      </c>
      <c r="AM47" s="111"/>
      <c r="AN47" s="194">
        <f>AN46</f>
        <v>720.921665080698</v>
      </c>
      <c r="AO47" s="195">
        <f>IF(Computation!F185=0,0,1)</f>
        <v>1</v>
      </c>
      <c r="AP47" s="246">
        <f t="shared" si="10"/>
        <v>60</v>
      </c>
      <c r="AQ47" s="111"/>
      <c r="AR47" s="194">
        <f>AR46</f>
        <v>720.921665080698</v>
      </c>
      <c r="AS47" s="195">
        <f>IF(Computation!F204=0,0,1)</f>
        <v>1</v>
      </c>
      <c r="AT47" s="246">
        <f t="shared" si="11"/>
        <v>68</v>
      </c>
      <c r="AV47" s="194">
        <f>AV46</f>
        <v>720.921665080698</v>
      </c>
      <c r="AW47" s="195">
        <f>IF(Computation!F223=0,0,1)</f>
        <v>1</v>
      </c>
      <c r="AX47" s="246">
        <f t="shared" si="12"/>
        <v>76</v>
      </c>
    </row>
    <row r="48" spans="1:50" ht="12.75">
      <c r="A48" s="2"/>
      <c r="B48" s="2"/>
      <c r="C48" s="2"/>
      <c r="D48" s="2"/>
      <c r="E48" s="2"/>
      <c r="F48" s="2"/>
      <c r="G48" s="2"/>
      <c r="H48" s="2"/>
      <c r="I48" s="2"/>
      <c r="J48" s="2"/>
      <c r="K48" s="2"/>
      <c r="L48" s="194">
        <f>L47+Computation!F52</f>
        <v>720.921665080698</v>
      </c>
      <c r="M48" s="195">
        <f>M47</f>
        <v>0</v>
      </c>
      <c r="N48" s="246">
        <f t="shared" si="3"/>
        <v>0</v>
      </c>
      <c r="O48" s="2"/>
      <c r="P48" s="194">
        <f>P47+Computation!F71</f>
        <v>720.921665080698</v>
      </c>
      <c r="Q48" s="197">
        <f>Q47</f>
        <v>0</v>
      </c>
      <c r="R48" s="247">
        <f t="shared" si="4"/>
        <v>8</v>
      </c>
      <c r="S48" s="2"/>
      <c r="T48" s="194">
        <f>T47+Computation!F90</f>
        <v>720.921665080698</v>
      </c>
      <c r="U48" s="195">
        <f>U47</f>
        <v>0</v>
      </c>
      <c r="V48" s="246">
        <f t="shared" si="5"/>
        <v>16</v>
      </c>
      <c r="W48" s="2"/>
      <c r="X48" s="194">
        <f>X47+Computation!F109</f>
        <v>720.921665080698</v>
      </c>
      <c r="Y48" s="211">
        <f>Y47</f>
        <v>0</v>
      </c>
      <c r="Z48" s="246">
        <f t="shared" si="6"/>
        <v>24</v>
      </c>
      <c r="AA48" s="2"/>
      <c r="AB48" s="194">
        <f>AB47+Computation!F128</f>
        <v>730.6919945999582</v>
      </c>
      <c r="AC48" s="195">
        <f>AC47</f>
        <v>1</v>
      </c>
      <c r="AD48" s="246">
        <f t="shared" si="7"/>
        <v>36</v>
      </c>
      <c r="AE48" s="2"/>
      <c r="AF48" s="194">
        <f>AF47+Computation!F147</f>
        <v>734.1802968130155</v>
      </c>
      <c r="AG48" s="195">
        <f>AG47</f>
        <v>1</v>
      </c>
      <c r="AH48" s="246">
        <f t="shared" si="8"/>
        <v>44</v>
      </c>
      <c r="AI48" s="2"/>
      <c r="AJ48" s="194">
        <f>AJ47+Computation!F166</f>
        <v>735.397597740205</v>
      </c>
      <c r="AK48" s="195">
        <f>AK47</f>
        <v>1</v>
      </c>
      <c r="AL48" s="246">
        <f t="shared" si="9"/>
        <v>52</v>
      </c>
      <c r="AM48" s="111"/>
      <c r="AN48" s="194">
        <f>AN47+Computation!F185</f>
        <v>735.046058260256</v>
      </c>
      <c r="AO48" s="195">
        <f>AO47</f>
        <v>1</v>
      </c>
      <c r="AP48" s="246">
        <f t="shared" si="10"/>
        <v>60</v>
      </c>
      <c r="AQ48" s="111"/>
      <c r="AR48" s="194">
        <f>AR47+Computation!F204</f>
        <v>732.9556717624037</v>
      </c>
      <c r="AS48" s="195">
        <f>AS47</f>
        <v>1</v>
      </c>
      <c r="AT48" s="246">
        <f t="shared" si="11"/>
        <v>68</v>
      </c>
      <c r="AV48" s="194">
        <f>AV47+Computation!F223</f>
        <v>727.3218102997943</v>
      </c>
      <c r="AW48" s="195">
        <f>AW47</f>
        <v>1</v>
      </c>
      <c r="AX48" s="246">
        <f t="shared" si="12"/>
        <v>76</v>
      </c>
    </row>
    <row r="49" spans="1:50" ht="12.75">
      <c r="A49" s="2"/>
      <c r="B49" s="2"/>
      <c r="C49" s="2"/>
      <c r="D49" s="2"/>
      <c r="E49" s="2"/>
      <c r="F49" s="2"/>
      <c r="G49" s="2"/>
      <c r="H49" s="2"/>
      <c r="I49" s="2"/>
      <c r="J49" s="2"/>
      <c r="K49" s="2"/>
      <c r="L49" s="194">
        <f>L48</f>
        <v>720.921665080698</v>
      </c>
      <c r="M49" s="195">
        <v>0</v>
      </c>
      <c r="N49" s="246">
        <f t="shared" si="3"/>
        <v>0</v>
      </c>
      <c r="O49" s="2"/>
      <c r="P49" s="194">
        <f>P48</f>
        <v>720.921665080698</v>
      </c>
      <c r="Q49" s="197">
        <v>0</v>
      </c>
      <c r="R49" s="247">
        <f t="shared" si="4"/>
        <v>8</v>
      </c>
      <c r="S49" s="2"/>
      <c r="T49" s="194">
        <f>T48</f>
        <v>720.921665080698</v>
      </c>
      <c r="U49" s="195">
        <v>0</v>
      </c>
      <c r="V49" s="246">
        <f t="shared" si="5"/>
        <v>16</v>
      </c>
      <c r="W49" s="2"/>
      <c r="X49" s="194">
        <f>X48</f>
        <v>720.921665080698</v>
      </c>
      <c r="Y49" s="211">
        <v>0</v>
      </c>
      <c r="Z49" s="246">
        <f t="shared" si="6"/>
        <v>24</v>
      </c>
      <c r="AA49" s="2"/>
      <c r="AB49" s="194">
        <f>AB48</f>
        <v>730.6919945999582</v>
      </c>
      <c r="AC49" s="195">
        <v>0</v>
      </c>
      <c r="AD49" s="246">
        <f t="shared" si="7"/>
        <v>32</v>
      </c>
      <c r="AE49" s="2"/>
      <c r="AF49" s="194">
        <f>AF48</f>
        <v>734.1802968130155</v>
      </c>
      <c r="AG49" s="195">
        <v>0</v>
      </c>
      <c r="AH49" s="246">
        <f t="shared" si="8"/>
        <v>40</v>
      </c>
      <c r="AI49" s="2"/>
      <c r="AJ49" s="194">
        <f>AJ48</f>
        <v>735.397597740205</v>
      </c>
      <c r="AK49" s="195">
        <v>0</v>
      </c>
      <c r="AL49" s="246">
        <f t="shared" si="9"/>
        <v>48</v>
      </c>
      <c r="AM49" s="111"/>
      <c r="AN49" s="194">
        <f>AN48</f>
        <v>735.046058260256</v>
      </c>
      <c r="AO49" s="195">
        <v>0</v>
      </c>
      <c r="AP49" s="246">
        <f t="shared" si="10"/>
        <v>56</v>
      </c>
      <c r="AQ49" s="111"/>
      <c r="AR49" s="194">
        <f>AR48</f>
        <v>732.9556717624037</v>
      </c>
      <c r="AS49" s="195">
        <v>0</v>
      </c>
      <c r="AT49" s="246">
        <f t="shared" si="11"/>
        <v>64</v>
      </c>
      <c r="AV49" s="194">
        <f>AV48</f>
        <v>727.3218102997943</v>
      </c>
      <c r="AW49" s="195">
        <v>0</v>
      </c>
      <c r="AX49" s="246">
        <f t="shared" si="12"/>
        <v>72</v>
      </c>
    </row>
    <row r="50" spans="1:50" ht="12.75">
      <c r="A50" s="2"/>
      <c r="B50" s="2"/>
      <c r="C50" s="2"/>
      <c r="D50" s="2"/>
      <c r="E50" s="2"/>
      <c r="F50" s="2"/>
      <c r="G50" s="2"/>
      <c r="H50" s="2"/>
      <c r="I50" s="2"/>
      <c r="J50" s="2"/>
      <c r="K50" s="2"/>
      <c r="L50" s="112">
        <f>Computation!B53</f>
        <v>823.9104743779405</v>
      </c>
      <c r="M50" s="108">
        <v>0</v>
      </c>
      <c r="N50" s="240">
        <f aca="true" t="shared" si="13" ref="N50:N81">IF(M50=1,($L$15+($B$18/2)),$L$15)</f>
        <v>0</v>
      </c>
      <c r="O50" s="2"/>
      <c r="P50" s="107">
        <f>Computation!B72</f>
        <v>823.9104743779405</v>
      </c>
      <c r="Q50" s="204">
        <v>0</v>
      </c>
      <c r="R50" s="242">
        <f aca="true" t="shared" si="14" ref="R50:R81">IF(Q50=1,($P$15+$B$18/2),$P$15)</f>
        <v>8</v>
      </c>
      <c r="S50" s="2"/>
      <c r="T50" s="107">
        <f>Computation!B91</f>
        <v>823.9104743779405</v>
      </c>
      <c r="U50" s="108">
        <v>0</v>
      </c>
      <c r="V50" s="240">
        <f aca="true" t="shared" si="15" ref="V50:V81">IF(U50=1,($T$15+$B$18/2),$T$15)</f>
        <v>16</v>
      </c>
      <c r="W50" s="2"/>
      <c r="X50" s="107">
        <f>Computation!B110</f>
        <v>823.9104743779405</v>
      </c>
      <c r="Y50" s="109">
        <v>0</v>
      </c>
      <c r="Z50" s="240">
        <f aca="true" t="shared" si="16" ref="Z50:Z81">IF(Y50=1,($X$15+$B$18/2),$X$15)</f>
        <v>24</v>
      </c>
      <c r="AA50" s="2"/>
      <c r="AB50" s="107">
        <f>Computation!B129</f>
        <v>823.9104743779405</v>
      </c>
      <c r="AC50" s="108">
        <v>0</v>
      </c>
      <c r="AD50" s="240">
        <f aca="true" t="shared" si="17" ref="AD50:AD81">IF(AC50=1,($AB$15+$B$18/2),$AB$15)</f>
        <v>32</v>
      </c>
      <c r="AE50" s="2"/>
      <c r="AF50" s="107">
        <f>Computation!B148</f>
        <v>823.9104743779405</v>
      </c>
      <c r="AG50" s="108">
        <v>0</v>
      </c>
      <c r="AH50" s="240">
        <f aca="true" t="shared" si="18" ref="AH50:AH81">IF(AG50=1,($AF$15+$B$18/2),$AF$15)</f>
        <v>40</v>
      </c>
      <c r="AI50" s="2"/>
      <c r="AJ50" s="107">
        <f>Computation!B167</f>
        <v>823.9104743779405</v>
      </c>
      <c r="AK50" s="108">
        <v>0</v>
      </c>
      <c r="AL50" s="240">
        <f aca="true" t="shared" si="19" ref="AL50:AL81">IF(AK50=1,($AJ$15+$B$18/2),$AJ$15)</f>
        <v>48</v>
      </c>
      <c r="AM50" s="111"/>
      <c r="AN50" s="107">
        <f>Computation!B186</f>
        <v>823.9104743779405</v>
      </c>
      <c r="AO50" s="108">
        <v>0</v>
      </c>
      <c r="AP50" s="240">
        <f aca="true" t="shared" si="20" ref="AP50:AP81">IF(AO50=1,($AN$15+$B$18/2),$AN$15)</f>
        <v>56</v>
      </c>
      <c r="AQ50" s="111"/>
      <c r="AR50" s="107">
        <f>Computation!B205</f>
        <v>823.9104743779405</v>
      </c>
      <c r="AS50" s="108">
        <v>0</v>
      </c>
      <c r="AT50" s="240">
        <f aca="true" t="shared" si="21" ref="AT50:AT81">IF(AS50=1,($AR$15+$B$18/2),$AR$15)</f>
        <v>64</v>
      </c>
      <c r="AV50" s="107">
        <f>Computation!B224</f>
        <v>823.9104743779405</v>
      </c>
      <c r="AW50" s="108">
        <v>0</v>
      </c>
      <c r="AX50" s="240">
        <f aca="true" t="shared" si="22" ref="AX50:AX81">IF(AW50=1,($AV$15+$B$18/2),$AV$15)</f>
        <v>72</v>
      </c>
    </row>
    <row r="51" spans="1:50" ht="12.75">
      <c r="A51" s="2"/>
      <c r="B51" s="2"/>
      <c r="C51" s="2"/>
      <c r="D51" s="2"/>
      <c r="E51" s="2"/>
      <c r="F51" s="2"/>
      <c r="G51" s="2"/>
      <c r="H51" s="2"/>
      <c r="I51" s="2"/>
      <c r="J51" s="2"/>
      <c r="K51" s="2"/>
      <c r="L51" s="112">
        <f>L50</f>
        <v>823.9104743779405</v>
      </c>
      <c r="M51" s="108">
        <f>IF(Computation!F53=0,0,1)</f>
        <v>0</v>
      </c>
      <c r="N51" s="240">
        <f t="shared" si="13"/>
        <v>0</v>
      </c>
      <c r="O51" s="2"/>
      <c r="P51" s="107">
        <f>P50</f>
        <v>823.9104743779405</v>
      </c>
      <c r="Q51" s="204">
        <f>IF(Computation!F72=0,0,1)</f>
        <v>0</v>
      </c>
      <c r="R51" s="242">
        <f t="shared" si="14"/>
        <v>8</v>
      </c>
      <c r="S51" s="2"/>
      <c r="T51" s="107">
        <f>T50</f>
        <v>823.9104743779405</v>
      </c>
      <c r="U51" s="108">
        <f>IF(Computation!F91=0,0,1)</f>
        <v>0</v>
      </c>
      <c r="V51" s="240">
        <f t="shared" si="15"/>
        <v>16</v>
      </c>
      <c r="W51" s="2"/>
      <c r="X51" s="107">
        <f>X50</f>
        <v>823.9104743779405</v>
      </c>
      <c r="Y51" s="109">
        <f>IF(Computation!F110=0,0,1)</f>
        <v>1</v>
      </c>
      <c r="Z51" s="240">
        <f t="shared" si="16"/>
        <v>28</v>
      </c>
      <c r="AA51" s="2"/>
      <c r="AB51" s="107">
        <f>AB50</f>
        <v>823.9104743779405</v>
      </c>
      <c r="AC51" s="108">
        <f>IF(Computation!F129=0,0,1)</f>
        <v>1</v>
      </c>
      <c r="AD51" s="240">
        <f t="shared" si="17"/>
        <v>36</v>
      </c>
      <c r="AE51" s="2"/>
      <c r="AF51" s="107">
        <f>AF50</f>
        <v>823.9104743779405</v>
      </c>
      <c r="AG51" s="108">
        <f>IF(Computation!F148=0,0,1)</f>
        <v>1</v>
      </c>
      <c r="AH51" s="240">
        <f t="shared" si="18"/>
        <v>44</v>
      </c>
      <c r="AI51" s="2"/>
      <c r="AJ51" s="107">
        <f>AJ50</f>
        <v>823.9104743779405</v>
      </c>
      <c r="AK51" s="108">
        <f>IF(Computation!F167=0,0,1)</f>
        <v>1</v>
      </c>
      <c r="AL51" s="240">
        <f t="shared" si="19"/>
        <v>52</v>
      </c>
      <c r="AM51" s="111"/>
      <c r="AN51" s="107">
        <f>AN50</f>
        <v>823.9104743779405</v>
      </c>
      <c r="AO51" s="108">
        <f>IF(Computation!F186=0,0,1)</f>
        <v>1</v>
      </c>
      <c r="AP51" s="240">
        <f t="shared" si="20"/>
        <v>60</v>
      </c>
      <c r="AQ51" s="111"/>
      <c r="AR51" s="107">
        <f>AR50</f>
        <v>823.9104743779405</v>
      </c>
      <c r="AS51" s="108">
        <f>IF(Computation!F205=0,0,1)</f>
        <v>1</v>
      </c>
      <c r="AT51" s="240">
        <f t="shared" si="21"/>
        <v>68</v>
      </c>
      <c r="AV51" s="107">
        <f>AV50</f>
        <v>823.9104743779405</v>
      </c>
      <c r="AW51" s="108">
        <f>IF(Computation!F224=0,0,1)</f>
        <v>1</v>
      </c>
      <c r="AX51" s="240">
        <f t="shared" si="22"/>
        <v>76</v>
      </c>
    </row>
    <row r="52" spans="1:50" ht="12.75">
      <c r="A52" s="2"/>
      <c r="B52" s="2"/>
      <c r="C52" s="2"/>
      <c r="D52" s="2"/>
      <c r="E52" s="2"/>
      <c r="F52" s="2"/>
      <c r="G52" s="2"/>
      <c r="H52" s="2"/>
      <c r="I52" s="2"/>
      <c r="J52" s="2"/>
      <c r="K52" s="2"/>
      <c r="L52" s="112">
        <f>L51+Computation!F53</f>
        <v>823.9104743779405</v>
      </c>
      <c r="M52" s="108">
        <f>M51</f>
        <v>0</v>
      </c>
      <c r="N52" s="240">
        <f t="shared" si="13"/>
        <v>0</v>
      </c>
      <c r="O52" s="2"/>
      <c r="P52" s="107">
        <f>P51+Computation!F72</f>
        <v>823.9104743779405</v>
      </c>
      <c r="Q52" s="204">
        <f>Q51</f>
        <v>0</v>
      </c>
      <c r="R52" s="242">
        <f t="shared" si="14"/>
        <v>8</v>
      </c>
      <c r="S52" s="2"/>
      <c r="T52" s="107">
        <f>T51+Computation!F91</f>
        <v>823.9104743779405</v>
      </c>
      <c r="U52" s="108">
        <f>U51</f>
        <v>0</v>
      </c>
      <c r="V52" s="240">
        <f t="shared" si="15"/>
        <v>16</v>
      </c>
      <c r="W52" s="2"/>
      <c r="X52" s="107">
        <f>X51+Computation!F110</f>
        <v>830.7019801397134</v>
      </c>
      <c r="Y52" s="109">
        <f>Y51</f>
        <v>1</v>
      </c>
      <c r="Z52" s="240">
        <f t="shared" si="16"/>
        <v>28</v>
      </c>
      <c r="AA52" s="2"/>
      <c r="AB52" s="107">
        <f>AB51+Computation!F129</f>
        <v>835.8541058181061</v>
      </c>
      <c r="AC52" s="108">
        <f>AC51</f>
        <v>1</v>
      </c>
      <c r="AD52" s="240">
        <f t="shared" si="17"/>
        <v>36</v>
      </c>
      <c r="AE52" s="2"/>
      <c r="AF52" s="107">
        <f>AF51+Computation!F148</f>
        <v>837.9259567120646</v>
      </c>
      <c r="AG52" s="108">
        <f>AG51</f>
        <v>1</v>
      </c>
      <c r="AH52" s="240">
        <f t="shared" si="18"/>
        <v>44</v>
      </c>
      <c r="AI52" s="2"/>
      <c r="AJ52" s="107">
        <f>AJ51+Computation!F167</f>
        <v>838.4302557499159</v>
      </c>
      <c r="AK52" s="108">
        <f>AK51</f>
        <v>1</v>
      </c>
      <c r="AL52" s="240">
        <f t="shared" si="19"/>
        <v>52</v>
      </c>
      <c r="AM52" s="111"/>
      <c r="AN52" s="107">
        <f>AN51+Computation!F186</f>
        <v>837.5744118814947</v>
      </c>
      <c r="AO52" s="108">
        <f>AO51</f>
        <v>1</v>
      </c>
      <c r="AP52" s="240">
        <f t="shared" si="20"/>
        <v>60</v>
      </c>
      <c r="AQ52" s="111"/>
      <c r="AR52" s="107">
        <f>AR51+Computation!F205</f>
        <v>834.9824840932798</v>
      </c>
      <c r="AS52" s="108">
        <f>AS51</f>
        <v>1</v>
      </c>
      <c r="AT52" s="240">
        <f t="shared" si="21"/>
        <v>68</v>
      </c>
      <c r="AV52" s="107">
        <f>AV51+Computation!F224</f>
        <v>827.7135572183936</v>
      </c>
      <c r="AW52" s="108">
        <f>AW51</f>
        <v>1</v>
      </c>
      <c r="AX52" s="240">
        <f t="shared" si="22"/>
        <v>76</v>
      </c>
    </row>
    <row r="53" spans="1:50" ht="12.75">
      <c r="A53" s="2"/>
      <c r="B53" s="2"/>
      <c r="C53" s="2"/>
      <c r="D53" s="2"/>
      <c r="E53" s="2"/>
      <c r="F53" s="2"/>
      <c r="G53" s="2"/>
      <c r="H53" s="2"/>
      <c r="I53" s="2"/>
      <c r="J53" s="2"/>
      <c r="K53" s="2"/>
      <c r="L53" s="112">
        <f>L52</f>
        <v>823.9104743779405</v>
      </c>
      <c r="M53" s="108">
        <v>0</v>
      </c>
      <c r="N53" s="240">
        <f t="shared" si="13"/>
        <v>0</v>
      </c>
      <c r="O53" s="2"/>
      <c r="P53" s="107">
        <f>P52</f>
        <v>823.9104743779405</v>
      </c>
      <c r="Q53" s="204">
        <v>0</v>
      </c>
      <c r="R53" s="242">
        <f t="shared" si="14"/>
        <v>8</v>
      </c>
      <c r="S53" s="2"/>
      <c r="T53" s="107">
        <f>T52</f>
        <v>823.9104743779405</v>
      </c>
      <c r="U53" s="108">
        <v>0</v>
      </c>
      <c r="V53" s="240">
        <f t="shared" si="15"/>
        <v>16</v>
      </c>
      <c r="W53" s="2"/>
      <c r="X53" s="107">
        <f>X52</f>
        <v>830.7019801397134</v>
      </c>
      <c r="Y53" s="109">
        <v>0</v>
      </c>
      <c r="Z53" s="240">
        <f t="shared" si="16"/>
        <v>24</v>
      </c>
      <c r="AA53" s="2"/>
      <c r="AB53" s="107">
        <f>AB52</f>
        <v>835.8541058181061</v>
      </c>
      <c r="AC53" s="108">
        <v>0</v>
      </c>
      <c r="AD53" s="240">
        <f t="shared" si="17"/>
        <v>32</v>
      </c>
      <c r="AE53" s="2"/>
      <c r="AF53" s="107">
        <f>AF52</f>
        <v>837.9259567120646</v>
      </c>
      <c r="AG53" s="108">
        <v>0</v>
      </c>
      <c r="AH53" s="240">
        <f t="shared" si="18"/>
        <v>40</v>
      </c>
      <c r="AI53" s="2"/>
      <c r="AJ53" s="107">
        <f>AJ52</f>
        <v>838.4302557499159</v>
      </c>
      <c r="AK53" s="108">
        <v>0</v>
      </c>
      <c r="AL53" s="240">
        <f t="shared" si="19"/>
        <v>48</v>
      </c>
      <c r="AM53" s="111"/>
      <c r="AN53" s="107">
        <f>AN52</f>
        <v>837.5744118814947</v>
      </c>
      <c r="AO53" s="108">
        <v>0</v>
      </c>
      <c r="AP53" s="240">
        <f t="shared" si="20"/>
        <v>56</v>
      </c>
      <c r="AQ53" s="111"/>
      <c r="AR53" s="107">
        <f>AR52</f>
        <v>834.9824840932798</v>
      </c>
      <c r="AS53" s="108">
        <v>0</v>
      </c>
      <c r="AT53" s="240">
        <f t="shared" si="21"/>
        <v>64</v>
      </c>
      <c r="AV53" s="107">
        <f>AV52</f>
        <v>827.7135572183936</v>
      </c>
      <c r="AW53" s="108">
        <v>0</v>
      </c>
      <c r="AX53" s="240">
        <f t="shared" si="22"/>
        <v>72</v>
      </c>
    </row>
    <row r="54" spans="1:50" ht="12.75">
      <c r="A54" s="2"/>
      <c r="B54" s="2"/>
      <c r="C54" s="2"/>
      <c r="D54" s="2"/>
      <c r="E54" s="2"/>
      <c r="F54" s="2"/>
      <c r="G54" s="2"/>
      <c r="H54" s="2"/>
      <c r="I54" s="2"/>
      <c r="J54" s="2"/>
      <c r="K54" s="2"/>
      <c r="L54" s="194">
        <f>Computation!B54</f>
        <v>926.8992836751831</v>
      </c>
      <c r="M54" s="195">
        <v>0</v>
      </c>
      <c r="N54" s="246">
        <f t="shared" si="13"/>
        <v>0</v>
      </c>
      <c r="O54" s="2"/>
      <c r="P54" s="194">
        <f>Computation!B73</f>
        <v>926.8992836751831</v>
      </c>
      <c r="Q54" s="202">
        <v>0</v>
      </c>
      <c r="R54" s="247">
        <f t="shared" si="14"/>
        <v>8</v>
      </c>
      <c r="S54" s="2"/>
      <c r="T54" s="194">
        <f>Computation!B92</f>
        <v>926.8992836751831</v>
      </c>
      <c r="U54" s="195">
        <v>0</v>
      </c>
      <c r="V54" s="246">
        <f t="shared" si="15"/>
        <v>16</v>
      </c>
      <c r="W54" s="2"/>
      <c r="X54" s="194">
        <f>Computation!B111</f>
        <v>926.8992836751831</v>
      </c>
      <c r="Y54" s="211">
        <f>Y49</f>
        <v>0</v>
      </c>
      <c r="Z54" s="246">
        <f t="shared" si="16"/>
        <v>24</v>
      </c>
      <c r="AA54" s="2"/>
      <c r="AB54" s="194">
        <f>Computation!B130</f>
        <v>926.8992836751831</v>
      </c>
      <c r="AC54" s="195">
        <f>AC49</f>
        <v>0</v>
      </c>
      <c r="AD54" s="246">
        <f t="shared" si="17"/>
        <v>32</v>
      </c>
      <c r="AE54" s="2"/>
      <c r="AF54" s="194">
        <f>Computation!B149</f>
        <v>926.8992836751831</v>
      </c>
      <c r="AG54" s="195">
        <f>AG49</f>
        <v>0</v>
      </c>
      <c r="AH54" s="246">
        <f t="shared" si="18"/>
        <v>40</v>
      </c>
      <c r="AI54" s="2"/>
      <c r="AJ54" s="194">
        <f>Computation!B168</f>
        <v>926.8992836751831</v>
      </c>
      <c r="AK54" s="195">
        <f>AK49</f>
        <v>0</v>
      </c>
      <c r="AL54" s="246">
        <f t="shared" si="19"/>
        <v>48</v>
      </c>
      <c r="AM54" s="111"/>
      <c r="AN54" s="194">
        <f>Computation!B187</f>
        <v>926.8992836751831</v>
      </c>
      <c r="AO54" s="195">
        <f>AO49</f>
        <v>0</v>
      </c>
      <c r="AP54" s="246">
        <f t="shared" si="20"/>
        <v>56</v>
      </c>
      <c r="AQ54" s="111"/>
      <c r="AR54" s="194">
        <f>Computation!B206</f>
        <v>926.8992836751831</v>
      </c>
      <c r="AS54" s="195">
        <f>AS49</f>
        <v>0</v>
      </c>
      <c r="AT54" s="246">
        <f t="shared" si="21"/>
        <v>64</v>
      </c>
      <c r="AV54" s="194">
        <f>Computation!B225</f>
        <v>926.8992836751831</v>
      </c>
      <c r="AW54" s="195">
        <f>AW49</f>
        <v>0</v>
      </c>
      <c r="AX54" s="246">
        <f t="shared" si="22"/>
        <v>72</v>
      </c>
    </row>
    <row r="55" spans="1:50" ht="12.75">
      <c r="A55" s="2"/>
      <c r="B55" s="2"/>
      <c r="C55" s="2"/>
      <c r="D55" s="2"/>
      <c r="E55" s="2"/>
      <c r="F55" s="2"/>
      <c r="G55" s="2"/>
      <c r="H55" s="2"/>
      <c r="I55" s="2"/>
      <c r="J55" s="2"/>
      <c r="K55" s="2"/>
      <c r="L55" s="201">
        <f>L54</f>
        <v>926.8992836751831</v>
      </c>
      <c r="M55" s="202">
        <f>IF(Computation!F54=0,0,1)</f>
        <v>0</v>
      </c>
      <c r="N55" s="246">
        <f t="shared" si="13"/>
        <v>0</v>
      </c>
      <c r="O55" s="2"/>
      <c r="P55" s="201">
        <f>P54</f>
        <v>926.8992836751831</v>
      </c>
      <c r="Q55" s="202">
        <f>IF(Computation!F73=0,0,1)</f>
        <v>1</v>
      </c>
      <c r="R55" s="247">
        <f t="shared" si="14"/>
        <v>12</v>
      </c>
      <c r="S55" s="2"/>
      <c r="T55" s="201">
        <f>T54</f>
        <v>926.8992836751831</v>
      </c>
      <c r="U55" s="202">
        <f>IF(Computation!F92=0,0,1)</f>
        <v>1</v>
      </c>
      <c r="V55" s="246">
        <f t="shared" si="15"/>
        <v>20</v>
      </c>
      <c r="W55" s="2"/>
      <c r="X55" s="201">
        <f>X54</f>
        <v>926.8992836751831</v>
      </c>
      <c r="Y55" s="202">
        <f>IF(Computation!F111=0,0,1)</f>
        <v>1</v>
      </c>
      <c r="Z55" s="246">
        <f t="shared" si="16"/>
        <v>28</v>
      </c>
      <c r="AA55" s="2"/>
      <c r="AB55" s="196">
        <f>AB54</f>
        <v>926.8992836751831</v>
      </c>
      <c r="AC55" s="197">
        <f>IF(Computation!F130=0,0,1)</f>
        <v>1</v>
      </c>
      <c r="AD55" s="246">
        <f t="shared" si="17"/>
        <v>36</v>
      </c>
      <c r="AE55" s="2"/>
      <c r="AF55" s="201">
        <f>AF54</f>
        <v>926.8992836751831</v>
      </c>
      <c r="AG55" s="202">
        <f>IF(Computation!F149=0,0,1)</f>
        <v>1</v>
      </c>
      <c r="AH55" s="246">
        <f t="shared" si="18"/>
        <v>44</v>
      </c>
      <c r="AI55" s="2"/>
      <c r="AJ55" s="201">
        <f>AJ54</f>
        <v>926.8992836751831</v>
      </c>
      <c r="AK55" s="202">
        <f>IF(Computation!F168=0,0,1)</f>
        <v>1</v>
      </c>
      <c r="AL55" s="246">
        <f t="shared" si="19"/>
        <v>52</v>
      </c>
      <c r="AM55" s="2"/>
      <c r="AN55" s="201">
        <f>AN54</f>
        <v>926.8992836751831</v>
      </c>
      <c r="AO55" s="202">
        <f>IF(Computation!F187=0,0,1)</f>
        <v>1</v>
      </c>
      <c r="AP55" s="246">
        <f t="shared" si="20"/>
        <v>60</v>
      </c>
      <c r="AQ55" s="2"/>
      <c r="AR55" s="201">
        <f>AR54</f>
        <v>926.8992836751831</v>
      </c>
      <c r="AS55" s="202">
        <f>IF(Computation!F206=0,0,1)</f>
        <v>1</v>
      </c>
      <c r="AT55" s="246">
        <f t="shared" si="21"/>
        <v>68</v>
      </c>
      <c r="AV55" s="201">
        <f>AV54</f>
        <v>926.8992836751831</v>
      </c>
      <c r="AW55" s="202">
        <f>IF(Computation!F225=0,0,1)</f>
        <v>0</v>
      </c>
      <c r="AX55" s="246">
        <f t="shared" si="22"/>
        <v>72</v>
      </c>
    </row>
    <row r="56" spans="1:50" ht="12.75">
      <c r="A56" s="2"/>
      <c r="B56" s="2"/>
      <c r="C56" s="2"/>
      <c r="D56" s="2"/>
      <c r="E56" s="2"/>
      <c r="F56" s="2"/>
      <c r="G56" s="2"/>
      <c r="H56" s="2"/>
      <c r="I56" s="2"/>
      <c r="J56" s="2"/>
      <c r="K56" s="2"/>
      <c r="L56" s="201">
        <f>L55+Computation!F54</f>
        <v>926.8992836751831</v>
      </c>
      <c r="M56" s="202">
        <f>M55</f>
        <v>0</v>
      </c>
      <c r="N56" s="246">
        <f t="shared" si="13"/>
        <v>0</v>
      </c>
      <c r="O56" s="2"/>
      <c r="P56" s="201">
        <f>P55+Computation!F73</f>
        <v>933.043548079476</v>
      </c>
      <c r="Q56" s="202">
        <f>Q55</f>
        <v>1</v>
      </c>
      <c r="R56" s="247">
        <f t="shared" si="14"/>
        <v>12</v>
      </c>
      <c r="S56" s="2"/>
      <c r="T56" s="201">
        <f>T55+Computation!F92</f>
        <v>937.9870432768649</v>
      </c>
      <c r="U56" s="202">
        <f>U55</f>
        <v>1</v>
      </c>
      <c r="V56" s="246">
        <f t="shared" si="15"/>
        <v>20</v>
      </c>
      <c r="W56" s="2"/>
      <c r="X56" s="201">
        <f>X55+Computation!F111</f>
        <v>940.2843946232566</v>
      </c>
      <c r="Y56" s="202">
        <f>Y55</f>
        <v>1</v>
      </c>
      <c r="Z56" s="246">
        <f t="shared" si="16"/>
        <v>28</v>
      </c>
      <c r="AA56" s="2"/>
      <c r="AB56" s="196">
        <f>AB55+Computation!F130</f>
        <v>941.2988447861615</v>
      </c>
      <c r="AC56" s="197">
        <f>AC55</f>
        <v>1</v>
      </c>
      <c r="AD56" s="246">
        <f t="shared" si="17"/>
        <v>36</v>
      </c>
      <c r="AE56" s="2"/>
      <c r="AF56" s="201">
        <f>AF55+Computation!F149</f>
        <v>941.3230303186201</v>
      </c>
      <c r="AG56" s="202">
        <f>AG55</f>
        <v>1</v>
      </c>
      <c r="AH56" s="246">
        <f t="shared" si="18"/>
        <v>44</v>
      </c>
      <c r="AI56" s="2"/>
      <c r="AJ56" s="201">
        <f>AJ55+Computation!F168</f>
        <v>940.3628160755447</v>
      </c>
      <c r="AK56" s="202">
        <f>AK55</f>
        <v>1</v>
      </c>
      <c r="AL56" s="246">
        <f t="shared" si="19"/>
        <v>52</v>
      </c>
      <c r="AM56" s="2"/>
      <c r="AN56" s="201">
        <f>AN55+Computation!F187</f>
        <v>938.1461241052938</v>
      </c>
      <c r="AO56" s="202">
        <f>AO55</f>
        <v>1</v>
      </c>
      <c r="AP56" s="246">
        <f t="shared" si="20"/>
        <v>60</v>
      </c>
      <c r="AQ56" s="2"/>
      <c r="AR56" s="201">
        <f>AR55+Computation!F206</f>
        <v>933.4417650865311</v>
      </c>
      <c r="AS56" s="202">
        <f>AS55</f>
        <v>1</v>
      </c>
      <c r="AT56" s="246">
        <f t="shared" si="21"/>
        <v>68</v>
      </c>
      <c r="AV56" s="201">
        <f>AV55+Computation!F225</f>
        <v>926.8992836751831</v>
      </c>
      <c r="AW56" s="202">
        <f>AW55</f>
        <v>0</v>
      </c>
      <c r="AX56" s="246">
        <f t="shared" si="22"/>
        <v>72</v>
      </c>
    </row>
    <row r="57" spans="1:50" ht="12.75">
      <c r="A57" s="2"/>
      <c r="B57" s="2"/>
      <c r="C57" s="2"/>
      <c r="D57" s="2"/>
      <c r="E57" s="2"/>
      <c r="F57" s="2"/>
      <c r="G57" s="2"/>
      <c r="H57" s="2"/>
      <c r="I57" s="2"/>
      <c r="J57" s="2"/>
      <c r="K57" s="2"/>
      <c r="L57" s="201">
        <f>L56</f>
        <v>926.8992836751831</v>
      </c>
      <c r="M57" s="202">
        <v>0</v>
      </c>
      <c r="N57" s="246">
        <f t="shared" si="13"/>
        <v>0</v>
      </c>
      <c r="O57" s="2"/>
      <c r="P57" s="201">
        <f>P56</f>
        <v>933.043548079476</v>
      </c>
      <c r="Q57" s="202">
        <v>0</v>
      </c>
      <c r="R57" s="247">
        <f t="shared" si="14"/>
        <v>8</v>
      </c>
      <c r="S57" s="2"/>
      <c r="T57" s="201">
        <f>T56</f>
        <v>937.9870432768649</v>
      </c>
      <c r="U57" s="202">
        <v>0</v>
      </c>
      <c r="V57" s="246">
        <f t="shared" si="15"/>
        <v>16</v>
      </c>
      <c r="W57" s="2"/>
      <c r="X57" s="201">
        <f>X56</f>
        <v>940.2843946232566</v>
      </c>
      <c r="Y57" s="202">
        <v>0</v>
      </c>
      <c r="Z57" s="246">
        <f t="shared" si="16"/>
        <v>24</v>
      </c>
      <c r="AA57" s="2"/>
      <c r="AB57" s="196">
        <f>AB56</f>
        <v>941.2988447861615</v>
      </c>
      <c r="AC57" s="197">
        <v>0</v>
      </c>
      <c r="AD57" s="246">
        <f t="shared" si="17"/>
        <v>32</v>
      </c>
      <c r="AE57" s="2"/>
      <c r="AF57" s="201">
        <f>AF56</f>
        <v>941.3230303186201</v>
      </c>
      <c r="AG57" s="202">
        <v>0</v>
      </c>
      <c r="AH57" s="246">
        <f t="shared" si="18"/>
        <v>40</v>
      </c>
      <c r="AI57" s="2"/>
      <c r="AJ57" s="201">
        <f>AJ56</f>
        <v>940.3628160755447</v>
      </c>
      <c r="AK57" s="202">
        <v>0</v>
      </c>
      <c r="AL57" s="246">
        <f t="shared" si="19"/>
        <v>48</v>
      </c>
      <c r="AM57" s="2"/>
      <c r="AN57" s="201">
        <f>AN56</f>
        <v>938.1461241052938</v>
      </c>
      <c r="AO57" s="202">
        <v>0</v>
      </c>
      <c r="AP57" s="246">
        <f t="shared" si="20"/>
        <v>56</v>
      </c>
      <c r="AQ57" s="2"/>
      <c r="AR57" s="201">
        <f>AR56</f>
        <v>933.4417650865311</v>
      </c>
      <c r="AS57" s="202">
        <v>0</v>
      </c>
      <c r="AT57" s="246">
        <f t="shared" si="21"/>
        <v>64</v>
      </c>
      <c r="AV57" s="201">
        <f>AV56</f>
        <v>926.8992836751831</v>
      </c>
      <c r="AW57" s="202">
        <v>0</v>
      </c>
      <c r="AX57" s="246">
        <f t="shared" si="22"/>
        <v>72</v>
      </c>
    </row>
    <row r="58" spans="1:50" ht="12.75">
      <c r="A58" s="2"/>
      <c r="B58" s="2"/>
      <c r="C58" s="2"/>
      <c r="D58" s="2"/>
      <c r="E58" s="2"/>
      <c r="F58" s="2"/>
      <c r="G58" s="2"/>
      <c r="H58" s="2"/>
      <c r="I58" s="2"/>
      <c r="J58" s="2"/>
      <c r="K58" s="2"/>
      <c r="L58" s="203">
        <f>Computation!B55</f>
        <v>1029.8880929724257</v>
      </c>
      <c r="M58" s="204">
        <v>0</v>
      </c>
      <c r="N58" s="240">
        <f t="shared" si="13"/>
        <v>0</v>
      </c>
      <c r="O58" s="2"/>
      <c r="P58" s="203">
        <f>Computation!B74</f>
        <v>1029.8880929724257</v>
      </c>
      <c r="Q58" s="204">
        <v>0</v>
      </c>
      <c r="R58" s="242">
        <f t="shared" si="14"/>
        <v>8</v>
      </c>
      <c r="S58" s="2"/>
      <c r="T58" s="203">
        <f>Computation!B93</f>
        <v>1029.8880929724257</v>
      </c>
      <c r="U58" s="204">
        <v>0</v>
      </c>
      <c r="V58" s="240">
        <f t="shared" si="15"/>
        <v>16</v>
      </c>
      <c r="W58" s="2"/>
      <c r="X58" s="203">
        <f>Computation!B112</f>
        <v>1029.8880929724257</v>
      </c>
      <c r="Y58" s="204">
        <v>0</v>
      </c>
      <c r="Z58" s="240">
        <f t="shared" si="16"/>
        <v>24</v>
      </c>
      <c r="AA58" s="2"/>
      <c r="AB58" s="107">
        <f>Computation!B131</f>
        <v>1029.8880929724257</v>
      </c>
      <c r="AC58" s="204">
        <v>0</v>
      </c>
      <c r="AD58" s="240">
        <f t="shared" si="17"/>
        <v>32</v>
      </c>
      <c r="AE58" s="2"/>
      <c r="AF58" s="203">
        <f>Computation!B150</f>
        <v>1029.8880929724257</v>
      </c>
      <c r="AG58" s="204">
        <v>0</v>
      </c>
      <c r="AH58" s="240">
        <f t="shared" si="18"/>
        <v>40</v>
      </c>
      <c r="AI58" s="2"/>
      <c r="AJ58" s="203">
        <f>Computation!B169</f>
        <v>1029.8880929724257</v>
      </c>
      <c r="AK58" s="204">
        <v>0</v>
      </c>
      <c r="AL58" s="240">
        <f t="shared" si="19"/>
        <v>48</v>
      </c>
      <c r="AM58" s="2"/>
      <c r="AN58" s="203">
        <f>Computation!B188</f>
        <v>1029.8880929724257</v>
      </c>
      <c r="AO58" s="204">
        <v>0</v>
      </c>
      <c r="AP58" s="240">
        <f t="shared" si="20"/>
        <v>56</v>
      </c>
      <c r="AQ58" s="2"/>
      <c r="AR58" s="203">
        <f>Computation!B207</f>
        <v>1029.8880929724257</v>
      </c>
      <c r="AS58" s="204">
        <v>0</v>
      </c>
      <c r="AT58" s="240">
        <f t="shared" si="21"/>
        <v>64</v>
      </c>
      <c r="AV58" s="203">
        <f>Computation!B226</f>
        <v>1029.8880929724257</v>
      </c>
      <c r="AW58" s="204">
        <v>0</v>
      </c>
      <c r="AX58" s="240">
        <f t="shared" si="22"/>
        <v>72</v>
      </c>
    </row>
    <row r="59" spans="1:50" ht="12.75">
      <c r="A59" s="2"/>
      <c r="B59" s="2"/>
      <c r="C59" s="2"/>
      <c r="D59" s="2"/>
      <c r="E59" s="2"/>
      <c r="F59" s="2"/>
      <c r="G59" s="2"/>
      <c r="H59" s="2"/>
      <c r="I59" s="2"/>
      <c r="J59" s="2"/>
      <c r="K59" s="2"/>
      <c r="L59" s="203">
        <f>L58</f>
        <v>1029.8880929724257</v>
      </c>
      <c r="M59" s="204">
        <f>IF(Computation!F55=0,0,1)</f>
        <v>1</v>
      </c>
      <c r="N59" s="240">
        <f t="shared" si="13"/>
        <v>4</v>
      </c>
      <c r="O59" s="2"/>
      <c r="P59" s="203">
        <f>P58</f>
        <v>1029.8880929724257</v>
      </c>
      <c r="Q59" s="204">
        <f>IF(Computation!F74=0,0,1)</f>
        <v>1</v>
      </c>
      <c r="R59" s="242">
        <f t="shared" si="14"/>
        <v>12</v>
      </c>
      <c r="S59" s="2"/>
      <c r="T59" s="203">
        <f>T58</f>
        <v>1029.8880929724257</v>
      </c>
      <c r="U59" s="204">
        <f>IF(Computation!F93=0,0,1)</f>
        <v>1</v>
      </c>
      <c r="V59" s="240">
        <f t="shared" si="15"/>
        <v>20</v>
      </c>
      <c r="W59" s="2"/>
      <c r="X59" s="203">
        <f>X58</f>
        <v>1029.8880929724257</v>
      </c>
      <c r="Y59" s="204">
        <f>IF(Computation!F112=0,0,1)</f>
        <v>1</v>
      </c>
      <c r="Z59" s="240">
        <f t="shared" si="16"/>
        <v>28</v>
      </c>
      <c r="AA59" s="2"/>
      <c r="AB59" s="107">
        <f>AB58</f>
        <v>1029.8880929724257</v>
      </c>
      <c r="AC59" s="204">
        <f>IF(Computation!F131=0,0,1)</f>
        <v>1</v>
      </c>
      <c r="AD59" s="240">
        <f t="shared" si="17"/>
        <v>36</v>
      </c>
      <c r="AE59" s="2"/>
      <c r="AF59" s="203">
        <f>AF58</f>
        <v>1029.8880929724257</v>
      </c>
      <c r="AG59" s="204">
        <f>IF(Computation!F150=0,0,1)</f>
        <v>1</v>
      </c>
      <c r="AH59" s="240">
        <f t="shared" si="18"/>
        <v>44</v>
      </c>
      <c r="AI59" s="2"/>
      <c r="AJ59" s="203">
        <f>AJ58</f>
        <v>1029.8880929724257</v>
      </c>
      <c r="AK59" s="204">
        <f>IF(Computation!F169=0,0,1)</f>
        <v>1</v>
      </c>
      <c r="AL59" s="240">
        <f t="shared" si="19"/>
        <v>52</v>
      </c>
      <c r="AM59" s="2"/>
      <c r="AN59" s="203">
        <f>AN58</f>
        <v>1029.8880929724257</v>
      </c>
      <c r="AO59" s="204">
        <f>IF(Computation!F188=0,0,1)</f>
        <v>0</v>
      </c>
      <c r="AP59" s="240">
        <f t="shared" si="20"/>
        <v>56</v>
      </c>
      <c r="AQ59" s="2"/>
      <c r="AR59" s="203">
        <f>AR58</f>
        <v>1029.8880929724257</v>
      </c>
      <c r="AS59" s="204">
        <f>IF(Computation!F207=0,0,1)</f>
        <v>0</v>
      </c>
      <c r="AT59" s="240">
        <f t="shared" si="21"/>
        <v>64</v>
      </c>
      <c r="AV59" s="203">
        <f>AV58</f>
        <v>1029.8880929724257</v>
      </c>
      <c r="AW59" s="204">
        <f>IF(Computation!F226=0,0,1)</f>
        <v>0</v>
      </c>
      <c r="AX59" s="240">
        <f t="shared" si="22"/>
        <v>72</v>
      </c>
    </row>
    <row r="60" spans="1:50" ht="12.75">
      <c r="A60" s="2"/>
      <c r="B60" s="2"/>
      <c r="C60" s="2"/>
      <c r="D60" s="2"/>
      <c r="E60" s="2"/>
      <c r="F60" s="2"/>
      <c r="G60" s="2"/>
      <c r="H60" s="2"/>
      <c r="I60" s="2"/>
      <c r="J60" s="2"/>
      <c r="K60" s="2"/>
      <c r="L60" s="203">
        <f>L59+Computation!F55</f>
        <v>1043.4184716227446</v>
      </c>
      <c r="M60" s="204">
        <f>M59</f>
        <v>1</v>
      </c>
      <c r="N60" s="240">
        <f t="shared" si="13"/>
        <v>4</v>
      </c>
      <c r="O60" s="2"/>
      <c r="P60" s="203">
        <f>P59+Computation!F74</f>
        <v>1044.2462184745827</v>
      </c>
      <c r="Q60" s="204">
        <f>Q59</f>
        <v>1</v>
      </c>
      <c r="R60" s="242">
        <f t="shared" si="14"/>
        <v>12</v>
      </c>
      <c r="S60" s="2"/>
      <c r="T60" s="203">
        <f>T59+Computation!F93</f>
        <v>1044.393796474824</v>
      </c>
      <c r="U60" s="204">
        <f>U59</f>
        <v>1</v>
      </c>
      <c r="V60" s="240">
        <f t="shared" si="15"/>
        <v>20</v>
      </c>
      <c r="W60" s="2"/>
      <c r="X60" s="203">
        <f>X59+Computation!F112</f>
        <v>1043.8811187115846</v>
      </c>
      <c r="Y60" s="204">
        <f>Y59</f>
        <v>1</v>
      </c>
      <c r="Z60" s="240">
        <f t="shared" si="16"/>
        <v>28</v>
      </c>
      <c r="AA60" s="2"/>
      <c r="AB60" s="107">
        <f>AB59+Computation!F131</f>
        <v>1042.6352253992839</v>
      </c>
      <c r="AC60" s="204">
        <f>AC59</f>
        <v>1</v>
      </c>
      <c r="AD60" s="240">
        <f t="shared" si="17"/>
        <v>36</v>
      </c>
      <c r="AE60" s="2"/>
      <c r="AF60" s="203">
        <f>AF59+Computation!F150</f>
        <v>1040.4216383768903</v>
      </c>
      <c r="AG60" s="204">
        <f>AG59</f>
        <v>1</v>
      </c>
      <c r="AH60" s="240">
        <f t="shared" si="18"/>
        <v>44</v>
      </c>
      <c r="AI60" s="2"/>
      <c r="AJ60" s="203">
        <f>AJ59+Computation!F169</f>
        <v>1036.3899994954722</v>
      </c>
      <c r="AK60" s="204">
        <f>AK59</f>
        <v>1</v>
      </c>
      <c r="AL60" s="240">
        <f t="shared" si="19"/>
        <v>52</v>
      </c>
      <c r="AM60" s="2"/>
      <c r="AN60" s="203">
        <f>AN59+Computation!F188</f>
        <v>1029.8880929724257</v>
      </c>
      <c r="AO60" s="204">
        <f>AO59</f>
        <v>0</v>
      </c>
      <c r="AP60" s="240">
        <f t="shared" si="20"/>
        <v>56</v>
      </c>
      <c r="AQ60" s="2"/>
      <c r="AR60" s="203">
        <f>AR59+Computation!F207</f>
        <v>1029.8880929724257</v>
      </c>
      <c r="AS60" s="204">
        <f>AS59</f>
        <v>0</v>
      </c>
      <c r="AT60" s="240">
        <f t="shared" si="21"/>
        <v>64</v>
      </c>
      <c r="AV60" s="203">
        <f>AV59+Computation!F226</f>
        <v>1029.8880929724257</v>
      </c>
      <c r="AW60" s="204">
        <f>AW59</f>
        <v>0</v>
      </c>
      <c r="AX60" s="240">
        <f t="shared" si="22"/>
        <v>72</v>
      </c>
    </row>
    <row r="61" spans="1:50" ht="12.75">
      <c r="A61" s="2"/>
      <c r="B61" s="2"/>
      <c r="C61" s="2"/>
      <c r="D61" s="2"/>
      <c r="E61" s="2"/>
      <c r="F61" s="2"/>
      <c r="G61" s="2"/>
      <c r="H61" s="2"/>
      <c r="I61" s="2"/>
      <c r="J61" s="2"/>
      <c r="K61" s="2"/>
      <c r="L61" s="203">
        <f>L60</f>
        <v>1043.4184716227446</v>
      </c>
      <c r="M61" s="204">
        <v>0</v>
      </c>
      <c r="N61" s="240">
        <f t="shared" si="13"/>
        <v>0</v>
      </c>
      <c r="O61" s="2"/>
      <c r="P61" s="203">
        <f>P60</f>
        <v>1044.2462184745827</v>
      </c>
      <c r="Q61" s="204">
        <v>0</v>
      </c>
      <c r="R61" s="242">
        <f t="shared" si="14"/>
        <v>8</v>
      </c>
      <c r="S61" s="2"/>
      <c r="T61" s="203">
        <f>T60</f>
        <v>1044.393796474824</v>
      </c>
      <c r="U61" s="204">
        <v>0</v>
      </c>
      <c r="V61" s="240">
        <f t="shared" si="15"/>
        <v>16</v>
      </c>
      <c r="W61" s="2"/>
      <c r="X61" s="203">
        <f>X60</f>
        <v>1043.8811187115846</v>
      </c>
      <c r="Y61" s="204">
        <v>0</v>
      </c>
      <c r="Z61" s="240">
        <f t="shared" si="16"/>
        <v>24</v>
      </c>
      <c r="AA61" s="2"/>
      <c r="AB61" s="107">
        <f>AB60</f>
        <v>1042.6352253992839</v>
      </c>
      <c r="AC61" s="204">
        <v>0</v>
      </c>
      <c r="AD61" s="240">
        <f t="shared" si="17"/>
        <v>32</v>
      </c>
      <c r="AE61" s="2"/>
      <c r="AF61" s="203">
        <f>AF60</f>
        <v>1040.4216383768903</v>
      </c>
      <c r="AG61" s="204">
        <v>0</v>
      </c>
      <c r="AH61" s="240">
        <f t="shared" si="18"/>
        <v>40</v>
      </c>
      <c r="AI61" s="2"/>
      <c r="AJ61" s="203">
        <f>AJ60</f>
        <v>1036.3899994954722</v>
      </c>
      <c r="AK61" s="204">
        <v>0</v>
      </c>
      <c r="AL61" s="240">
        <f t="shared" si="19"/>
        <v>48</v>
      </c>
      <c r="AM61" s="2"/>
      <c r="AN61" s="203">
        <f>AN60</f>
        <v>1029.8880929724257</v>
      </c>
      <c r="AO61" s="204">
        <v>0</v>
      </c>
      <c r="AP61" s="240">
        <f t="shared" si="20"/>
        <v>56</v>
      </c>
      <c r="AQ61" s="2"/>
      <c r="AR61" s="203">
        <f>AR60</f>
        <v>1029.8880929724257</v>
      </c>
      <c r="AS61" s="204">
        <v>0</v>
      </c>
      <c r="AT61" s="240">
        <f t="shared" si="21"/>
        <v>64</v>
      </c>
      <c r="AV61" s="203">
        <f>AV60</f>
        <v>1029.8880929724257</v>
      </c>
      <c r="AW61" s="204">
        <v>0</v>
      </c>
      <c r="AX61" s="240">
        <f t="shared" si="22"/>
        <v>72</v>
      </c>
    </row>
    <row r="62" spans="4:50" ht="12.75">
      <c r="D62" s="2"/>
      <c r="E62" s="2"/>
      <c r="F62" s="2"/>
      <c r="G62" s="2"/>
      <c r="H62" s="2"/>
      <c r="I62" s="2"/>
      <c r="J62" s="2"/>
      <c r="K62" s="2"/>
      <c r="L62" s="201">
        <f>Computation!B56</f>
        <v>1132.8769022696683</v>
      </c>
      <c r="M62" s="202">
        <v>0</v>
      </c>
      <c r="N62" s="246">
        <f t="shared" si="13"/>
        <v>0</v>
      </c>
      <c r="O62" s="2"/>
      <c r="P62" s="201">
        <f>Computation!B75</f>
        <v>1132.8769022696683</v>
      </c>
      <c r="Q62" s="202">
        <v>0</v>
      </c>
      <c r="R62" s="247">
        <f t="shared" si="14"/>
        <v>8</v>
      </c>
      <c r="S62" s="2"/>
      <c r="T62" s="201">
        <f>Computation!B94</f>
        <v>1132.8769022696683</v>
      </c>
      <c r="U62" s="202">
        <v>0</v>
      </c>
      <c r="V62" s="246">
        <f t="shared" si="15"/>
        <v>16</v>
      </c>
      <c r="W62" s="2"/>
      <c r="X62" s="201">
        <f>Computation!B113</f>
        <v>1132.8769022696683</v>
      </c>
      <c r="Y62" s="202">
        <v>0</v>
      </c>
      <c r="Z62" s="246">
        <f t="shared" si="16"/>
        <v>24</v>
      </c>
      <c r="AA62" s="2"/>
      <c r="AB62" s="194">
        <f>Computation!B132</f>
        <v>1132.8769022696683</v>
      </c>
      <c r="AC62" s="202">
        <v>0</v>
      </c>
      <c r="AD62" s="246">
        <f t="shared" si="17"/>
        <v>32</v>
      </c>
      <c r="AE62" s="2"/>
      <c r="AF62" s="201">
        <f>Computation!B151</f>
        <v>1132.8769022696683</v>
      </c>
      <c r="AG62" s="202">
        <v>0</v>
      </c>
      <c r="AH62" s="246">
        <f t="shared" si="18"/>
        <v>40</v>
      </c>
      <c r="AI62" s="2"/>
      <c r="AJ62" s="201">
        <f>Computation!B170</f>
        <v>1132.8769022696683</v>
      </c>
      <c r="AK62" s="202">
        <v>0</v>
      </c>
      <c r="AL62" s="246">
        <f t="shared" si="19"/>
        <v>48</v>
      </c>
      <c r="AM62" s="2"/>
      <c r="AN62" s="201">
        <f>Computation!B189</f>
        <v>1132.8769022696683</v>
      </c>
      <c r="AO62" s="202">
        <v>0</v>
      </c>
      <c r="AP62" s="246">
        <f t="shared" si="20"/>
        <v>56</v>
      </c>
      <c r="AQ62" s="2"/>
      <c r="AR62" s="201">
        <f>Computation!B208</f>
        <v>1132.8769022696683</v>
      </c>
      <c r="AS62" s="202">
        <v>0</v>
      </c>
      <c r="AT62" s="246">
        <f t="shared" si="21"/>
        <v>64</v>
      </c>
      <c r="AV62" s="201">
        <f>Computation!B227</f>
        <v>1132.8769022696683</v>
      </c>
      <c r="AW62" s="202">
        <v>0</v>
      </c>
      <c r="AX62" s="246">
        <f t="shared" si="22"/>
        <v>72</v>
      </c>
    </row>
    <row r="63" spans="12:50" ht="12.75">
      <c r="L63" s="205">
        <f>L62</f>
        <v>1132.8769022696683</v>
      </c>
      <c r="M63" s="206">
        <f>IF(Computation!F56=0,0,1)</f>
        <v>1</v>
      </c>
      <c r="N63" s="246">
        <f t="shared" si="13"/>
        <v>4</v>
      </c>
      <c r="P63" s="205">
        <f>P62</f>
        <v>1132.8769022696683</v>
      </c>
      <c r="Q63" s="206">
        <f>IF(Computation!F75=0,0,1)</f>
        <v>1</v>
      </c>
      <c r="R63" s="247">
        <f t="shared" si="14"/>
        <v>12</v>
      </c>
      <c r="T63" s="205">
        <f>T62</f>
        <v>1132.8769022696683</v>
      </c>
      <c r="U63" s="206">
        <f>IF(Computation!F94=0,0,1)</f>
        <v>1</v>
      </c>
      <c r="V63" s="246">
        <f t="shared" si="15"/>
        <v>20</v>
      </c>
      <c r="X63" s="205">
        <f>X62</f>
        <v>1132.8769022696683</v>
      </c>
      <c r="Y63" s="206">
        <f>IF(Computation!F113=0,0,1)</f>
        <v>0</v>
      </c>
      <c r="Z63" s="246">
        <f t="shared" si="16"/>
        <v>24</v>
      </c>
      <c r="AB63" s="207">
        <f>AB62</f>
        <v>1132.8769022696683</v>
      </c>
      <c r="AC63" s="206">
        <f>IF(Computation!F132=0,0,1)</f>
        <v>0</v>
      </c>
      <c r="AD63" s="246">
        <f t="shared" si="17"/>
        <v>32</v>
      </c>
      <c r="AF63" s="205">
        <f>AF62</f>
        <v>1132.8769022696683</v>
      </c>
      <c r="AG63" s="206">
        <f>IF(Computation!F151=0,0,1)</f>
        <v>0</v>
      </c>
      <c r="AH63" s="246">
        <f t="shared" si="18"/>
        <v>40</v>
      </c>
      <c r="AJ63" s="205">
        <f>AJ62</f>
        <v>1132.8769022696683</v>
      </c>
      <c r="AK63" s="206">
        <f>IF(Computation!F170=0,0,1)</f>
        <v>0</v>
      </c>
      <c r="AL63" s="246">
        <f t="shared" si="19"/>
        <v>48</v>
      </c>
      <c r="AN63" s="205">
        <f>AN62</f>
        <v>1132.8769022696683</v>
      </c>
      <c r="AO63" s="206">
        <f>IF(Computation!F189=0,0,1)</f>
        <v>0</v>
      </c>
      <c r="AP63" s="246">
        <f t="shared" si="20"/>
        <v>56</v>
      </c>
      <c r="AR63" s="205">
        <f>AR62</f>
        <v>1132.8769022696683</v>
      </c>
      <c r="AS63" s="206">
        <f>IF(Computation!F208=0,0,1)</f>
        <v>0</v>
      </c>
      <c r="AT63" s="246">
        <f t="shared" si="21"/>
        <v>64</v>
      </c>
      <c r="AV63" s="205">
        <f>AV62</f>
        <v>1132.8769022696683</v>
      </c>
      <c r="AW63" s="206">
        <f>IF(Computation!F227=0,0,1)</f>
        <v>0</v>
      </c>
      <c r="AX63" s="246">
        <f t="shared" si="22"/>
        <v>72</v>
      </c>
    </row>
    <row r="64" spans="12:50" ht="12.75">
      <c r="L64" s="205">
        <f>L63+Computation!F56</f>
        <v>1145.9874956255812</v>
      </c>
      <c r="M64" s="206">
        <f>M63</f>
        <v>1</v>
      </c>
      <c r="N64" s="246">
        <f t="shared" si="13"/>
        <v>4</v>
      </c>
      <c r="P64" s="205">
        <f>P63+Computation!F75</f>
        <v>1144.0040475263297</v>
      </c>
      <c r="Q64" s="206">
        <f>Q63</f>
        <v>1</v>
      </c>
      <c r="R64" s="247">
        <f t="shared" si="14"/>
        <v>12</v>
      </c>
      <c r="T64" s="205">
        <f>T63+Computation!F94</f>
        <v>1140.4742916496725</v>
      </c>
      <c r="U64" s="206">
        <f>U63</f>
        <v>1</v>
      </c>
      <c r="V64" s="246">
        <f t="shared" si="15"/>
        <v>20</v>
      </c>
      <c r="X64" s="205">
        <f>X63+Computation!F113</f>
        <v>1132.8769022696683</v>
      </c>
      <c r="Y64" s="206">
        <f>Y63</f>
        <v>0</v>
      </c>
      <c r="Z64" s="246">
        <f t="shared" si="16"/>
        <v>24</v>
      </c>
      <c r="AB64" s="207">
        <f>AB63+Computation!F132</f>
        <v>1132.8769022696683</v>
      </c>
      <c r="AC64" s="206">
        <f>AC63</f>
        <v>0</v>
      </c>
      <c r="AD64" s="246">
        <f t="shared" si="17"/>
        <v>32</v>
      </c>
      <c r="AF64" s="205">
        <f>AF63+Computation!F151</f>
        <v>1132.8769022696683</v>
      </c>
      <c r="AG64" s="206">
        <f>AG63</f>
        <v>0</v>
      </c>
      <c r="AH64" s="246">
        <f t="shared" si="18"/>
        <v>40</v>
      </c>
      <c r="AJ64" s="205">
        <f>AJ63+Computation!F170</f>
        <v>1132.8769022696683</v>
      </c>
      <c r="AK64" s="206">
        <f>AK63</f>
        <v>0</v>
      </c>
      <c r="AL64" s="246">
        <f t="shared" si="19"/>
        <v>48</v>
      </c>
      <c r="AN64" s="205">
        <f>AN63+Computation!F189</f>
        <v>1132.8769022696683</v>
      </c>
      <c r="AO64" s="206">
        <f>AO63</f>
        <v>0</v>
      </c>
      <c r="AP64" s="246">
        <f t="shared" si="20"/>
        <v>56</v>
      </c>
      <c r="AR64" s="205">
        <f>AR63+Computation!F208</f>
        <v>1132.8769022696683</v>
      </c>
      <c r="AS64" s="206">
        <f>AS63</f>
        <v>0</v>
      </c>
      <c r="AT64" s="246">
        <f t="shared" si="21"/>
        <v>64</v>
      </c>
      <c r="AV64" s="205">
        <f>AV63+Computation!F227</f>
        <v>1132.8769022696683</v>
      </c>
      <c r="AW64" s="206">
        <f>AW63</f>
        <v>0</v>
      </c>
      <c r="AX64" s="246">
        <f t="shared" si="22"/>
        <v>72</v>
      </c>
    </row>
    <row r="65" spans="12:50" ht="12.75">
      <c r="L65" s="205">
        <f>L64</f>
        <v>1145.9874956255812</v>
      </c>
      <c r="M65" s="206">
        <v>0</v>
      </c>
      <c r="N65" s="246">
        <f t="shared" si="13"/>
        <v>0</v>
      </c>
      <c r="P65" s="205">
        <f>P64</f>
        <v>1144.0040475263297</v>
      </c>
      <c r="Q65" s="206">
        <v>0</v>
      </c>
      <c r="R65" s="247">
        <f t="shared" si="14"/>
        <v>8</v>
      </c>
      <c r="T65" s="205">
        <f>T64</f>
        <v>1140.4742916496725</v>
      </c>
      <c r="U65" s="206">
        <v>0</v>
      </c>
      <c r="V65" s="246">
        <f t="shared" si="15"/>
        <v>16</v>
      </c>
      <c r="X65" s="205">
        <f>X64</f>
        <v>1132.8769022696683</v>
      </c>
      <c r="Y65" s="206">
        <v>0</v>
      </c>
      <c r="Z65" s="246">
        <f t="shared" si="16"/>
        <v>24</v>
      </c>
      <c r="AB65" s="207">
        <f>AB64</f>
        <v>1132.8769022696683</v>
      </c>
      <c r="AC65" s="206">
        <v>0</v>
      </c>
      <c r="AD65" s="246">
        <f t="shared" si="17"/>
        <v>32</v>
      </c>
      <c r="AF65" s="205">
        <f>AF64</f>
        <v>1132.8769022696683</v>
      </c>
      <c r="AG65" s="206">
        <v>0</v>
      </c>
      <c r="AH65" s="246">
        <f t="shared" si="18"/>
        <v>40</v>
      </c>
      <c r="AJ65" s="205">
        <f>AJ64</f>
        <v>1132.8769022696683</v>
      </c>
      <c r="AK65" s="206">
        <v>0</v>
      </c>
      <c r="AL65" s="246">
        <f t="shared" si="19"/>
        <v>48</v>
      </c>
      <c r="AN65" s="205">
        <f>AN64</f>
        <v>1132.8769022696683</v>
      </c>
      <c r="AO65" s="206">
        <v>0</v>
      </c>
      <c r="AP65" s="246">
        <f t="shared" si="20"/>
        <v>56</v>
      </c>
      <c r="AR65" s="205">
        <f>AR64</f>
        <v>1132.8769022696683</v>
      </c>
      <c r="AS65" s="206">
        <v>0</v>
      </c>
      <c r="AT65" s="246">
        <f t="shared" si="21"/>
        <v>64</v>
      </c>
      <c r="AV65" s="205">
        <f>AV64</f>
        <v>1132.8769022696683</v>
      </c>
      <c r="AW65" s="206">
        <v>0</v>
      </c>
      <c r="AX65" s="246">
        <f t="shared" si="22"/>
        <v>72</v>
      </c>
    </row>
    <row r="66" spans="12:50" ht="12.75">
      <c r="L66" s="198">
        <f>Computation!B57</f>
        <v>1235.865711566911</v>
      </c>
      <c r="M66" s="199">
        <v>0</v>
      </c>
      <c r="N66" s="240">
        <f t="shared" si="13"/>
        <v>0</v>
      </c>
      <c r="P66" s="208">
        <f>Computation!B76</f>
        <v>1235.865711566911</v>
      </c>
      <c r="Q66" s="199">
        <v>0</v>
      </c>
      <c r="R66" s="242">
        <f t="shared" si="14"/>
        <v>8</v>
      </c>
      <c r="T66" s="208">
        <f>Computation!B95</f>
        <v>1235.865711566911</v>
      </c>
      <c r="U66" s="199">
        <v>0</v>
      </c>
      <c r="V66" s="240">
        <f t="shared" si="15"/>
        <v>16</v>
      </c>
      <c r="X66" s="208">
        <f>Computation!B114</f>
        <v>1235.865711566911</v>
      </c>
      <c r="Y66" s="199">
        <v>0</v>
      </c>
      <c r="Z66" s="240">
        <f t="shared" si="16"/>
        <v>24</v>
      </c>
      <c r="AB66" s="198">
        <f>Computation!B133</f>
        <v>1235.865711566911</v>
      </c>
      <c r="AC66" s="199">
        <v>0</v>
      </c>
      <c r="AD66" s="240">
        <f t="shared" si="17"/>
        <v>32</v>
      </c>
      <c r="AF66" s="208">
        <f>Computation!B152</f>
        <v>1235.865711566911</v>
      </c>
      <c r="AG66" s="199">
        <v>0</v>
      </c>
      <c r="AH66" s="240">
        <f t="shared" si="18"/>
        <v>40</v>
      </c>
      <c r="AJ66" s="208">
        <f>Computation!B171</f>
        <v>1235.865711566911</v>
      </c>
      <c r="AK66" s="199">
        <v>0</v>
      </c>
      <c r="AL66" s="240">
        <f t="shared" si="19"/>
        <v>48</v>
      </c>
      <c r="AN66" s="208">
        <f>Computation!B190</f>
        <v>1235.865711566911</v>
      </c>
      <c r="AO66" s="199">
        <v>0</v>
      </c>
      <c r="AP66" s="240">
        <f t="shared" si="20"/>
        <v>56</v>
      </c>
      <c r="AR66" s="208">
        <f>Computation!B209</f>
        <v>1235.865711566911</v>
      </c>
      <c r="AS66" s="199">
        <v>0</v>
      </c>
      <c r="AT66" s="240">
        <f t="shared" si="21"/>
        <v>64</v>
      </c>
      <c r="AV66" s="208">
        <f>Computation!B228</f>
        <v>1235.865711566911</v>
      </c>
      <c r="AW66" s="199">
        <v>0</v>
      </c>
      <c r="AX66" s="240">
        <f t="shared" si="22"/>
        <v>72</v>
      </c>
    </row>
    <row r="67" spans="12:50" ht="12.75">
      <c r="L67" s="198">
        <f>L66</f>
        <v>1235.865711566911</v>
      </c>
      <c r="M67" s="199">
        <f>IF(Computation!F57=0,0,1)</f>
        <v>0</v>
      </c>
      <c r="N67" s="240">
        <f t="shared" si="13"/>
        <v>0</v>
      </c>
      <c r="P67" s="208">
        <f>P66</f>
        <v>1235.865711566911</v>
      </c>
      <c r="Q67" s="199">
        <f>IF(Computation!F76=0,0,1)</f>
        <v>0</v>
      </c>
      <c r="R67" s="242">
        <f t="shared" si="14"/>
        <v>8</v>
      </c>
      <c r="T67" s="208">
        <f>T66</f>
        <v>1235.865711566911</v>
      </c>
      <c r="U67" s="199">
        <f>IF(Computation!F95=0,0,1)</f>
        <v>0</v>
      </c>
      <c r="V67" s="240">
        <f t="shared" si="15"/>
        <v>16</v>
      </c>
      <c r="X67" s="208">
        <f>X66</f>
        <v>1235.865711566911</v>
      </c>
      <c r="Y67" s="199">
        <f>IF(Computation!F114=0,0,1)</f>
        <v>0</v>
      </c>
      <c r="Z67" s="240">
        <f t="shared" si="16"/>
        <v>24</v>
      </c>
      <c r="AB67" s="198">
        <f>AB66</f>
        <v>1235.865711566911</v>
      </c>
      <c r="AC67" s="199">
        <f>IF(Computation!F133=0,0,1)</f>
        <v>0</v>
      </c>
      <c r="AD67" s="240">
        <f t="shared" si="17"/>
        <v>32</v>
      </c>
      <c r="AF67" s="208">
        <f>AF66</f>
        <v>1235.865711566911</v>
      </c>
      <c r="AG67" s="199">
        <f>IF(Computation!F152=0,0,1)</f>
        <v>0</v>
      </c>
      <c r="AH67" s="240">
        <f t="shared" si="18"/>
        <v>40</v>
      </c>
      <c r="AJ67" s="208">
        <f>AJ66</f>
        <v>1235.865711566911</v>
      </c>
      <c r="AK67" s="199">
        <f>IF(Computation!F171=0,0,1)</f>
        <v>0</v>
      </c>
      <c r="AL67" s="240">
        <f t="shared" si="19"/>
        <v>48</v>
      </c>
      <c r="AN67" s="208">
        <f>AN66</f>
        <v>1235.865711566911</v>
      </c>
      <c r="AO67" s="199">
        <f>IF(Computation!F190=0,0,1)</f>
        <v>0</v>
      </c>
      <c r="AP67" s="240">
        <f t="shared" si="20"/>
        <v>56</v>
      </c>
      <c r="AR67" s="208">
        <f>AR66</f>
        <v>1235.865711566911</v>
      </c>
      <c r="AS67" s="199">
        <f>IF(Computation!F209=0,0,1)</f>
        <v>0</v>
      </c>
      <c r="AT67" s="240">
        <f t="shared" si="21"/>
        <v>64</v>
      </c>
      <c r="AV67" s="208">
        <f>AV66</f>
        <v>1235.865711566911</v>
      </c>
      <c r="AW67" s="199">
        <f>IF(Computation!F228=0,0,1)</f>
        <v>0</v>
      </c>
      <c r="AX67" s="240">
        <f t="shared" si="22"/>
        <v>72</v>
      </c>
    </row>
    <row r="68" spans="12:50" ht="12.75">
      <c r="L68" s="198">
        <f>L67+Computation!F57</f>
        <v>1235.865711566911</v>
      </c>
      <c r="M68" s="199">
        <f>M67</f>
        <v>0</v>
      </c>
      <c r="N68" s="240">
        <f t="shared" si="13"/>
        <v>0</v>
      </c>
      <c r="P68" s="208">
        <f>P67+Computation!F76</f>
        <v>1235.865711566911</v>
      </c>
      <c r="Q68" s="199">
        <f>Q67</f>
        <v>0</v>
      </c>
      <c r="R68" s="242">
        <f t="shared" si="14"/>
        <v>8</v>
      </c>
      <c r="T68" s="208">
        <f>T67+Computation!F95</f>
        <v>1235.865711566911</v>
      </c>
      <c r="U68" s="199">
        <f>U67</f>
        <v>0</v>
      </c>
      <c r="V68" s="240">
        <f t="shared" si="15"/>
        <v>16</v>
      </c>
      <c r="X68" s="208">
        <f>X67+Computation!F114</f>
        <v>1235.865711566911</v>
      </c>
      <c r="Y68" s="199">
        <f>Y67</f>
        <v>0</v>
      </c>
      <c r="Z68" s="240">
        <f t="shared" si="16"/>
        <v>24</v>
      </c>
      <c r="AB68" s="198">
        <f>AB67+Computation!F133</f>
        <v>1235.865711566911</v>
      </c>
      <c r="AC68" s="199">
        <f>AC67</f>
        <v>0</v>
      </c>
      <c r="AD68" s="240">
        <f t="shared" si="17"/>
        <v>32</v>
      </c>
      <c r="AF68" s="208">
        <f>AF67+Computation!F152</f>
        <v>1235.865711566911</v>
      </c>
      <c r="AG68" s="199">
        <f>AG67</f>
        <v>0</v>
      </c>
      <c r="AH68" s="240">
        <f t="shared" si="18"/>
        <v>40</v>
      </c>
      <c r="AJ68" s="208">
        <f>AJ67+Computation!F171</f>
        <v>1235.865711566911</v>
      </c>
      <c r="AK68" s="199">
        <f>AK67</f>
        <v>0</v>
      </c>
      <c r="AL68" s="240">
        <f t="shared" si="19"/>
        <v>48</v>
      </c>
      <c r="AN68" s="208">
        <f>AN67+Computation!F190</f>
        <v>1235.865711566911</v>
      </c>
      <c r="AO68" s="199">
        <f>AO67</f>
        <v>0</v>
      </c>
      <c r="AP68" s="240">
        <f t="shared" si="20"/>
        <v>56</v>
      </c>
      <c r="AR68" s="208">
        <f>AR67+Computation!F209</f>
        <v>1235.865711566911</v>
      </c>
      <c r="AS68" s="199">
        <f>AS67</f>
        <v>0</v>
      </c>
      <c r="AT68" s="240">
        <f t="shared" si="21"/>
        <v>64</v>
      </c>
      <c r="AV68" s="208">
        <f>AV67+Computation!F228</f>
        <v>1235.865711566911</v>
      </c>
      <c r="AW68" s="199">
        <f>AW67</f>
        <v>0</v>
      </c>
      <c r="AX68" s="240">
        <f t="shared" si="22"/>
        <v>72</v>
      </c>
    </row>
    <row r="69" spans="12:50" ht="12.75">
      <c r="L69" s="198">
        <f>L68</f>
        <v>1235.865711566911</v>
      </c>
      <c r="M69" s="199">
        <v>0</v>
      </c>
      <c r="N69" s="240">
        <f t="shared" si="13"/>
        <v>0</v>
      </c>
      <c r="P69" s="208">
        <f>P68</f>
        <v>1235.865711566911</v>
      </c>
      <c r="Q69" s="199">
        <v>0</v>
      </c>
      <c r="R69" s="242">
        <f t="shared" si="14"/>
        <v>8</v>
      </c>
      <c r="T69" s="208">
        <f>T68</f>
        <v>1235.865711566911</v>
      </c>
      <c r="U69" s="199">
        <v>0</v>
      </c>
      <c r="V69" s="240">
        <f t="shared" si="15"/>
        <v>16</v>
      </c>
      <c r="X69" s="208">
        <f>X68</f>
        <v>1235.865711566911</v>
      </c>
      <c r="Y69" s="199">
        <v>0</v>
      </c>
      <c r="Z69" s="240">
        <f t="shared" si="16"/>
        <v>24</v>
      </c>
      <c r="AB69" s="198">
        <f>AB68</f>
        <v>1235.865711566911</v>
      </c>
      <c r="AC69" s="199">
        <v>0</v>
      </c>
      <c r="AD69" s="240">
        <f t="shared" si="17"/>
        <v>32</v>
      </c>
      <c r="AF69" s="208">
        <f>AF68</f>
        <v>1235.865711566911</v>
      </c>
      <c r="AG69" s="199">
        <v>0</v>
      </c>
      <c r="AH69" s="240">
        <f t="shared" si="18"/>
        <v>40</v>
      </c>
      <c r="AJ69" s="208">
        <f>AJ68</f>
        <v>1235.865711566911</v>
      </c>
      <c r="AK69" s="199">
        <v>0</v>
      </c>
      <c r="AL69" s="240">
        <f t="shared" si="19"/>
        <v>48</v>
      </c>
      <c r="AN69" s="208">
        <f>AN68</f>
        <v>1235.865711566911</v>
      </c>
      <c r="AO69" s="199">
        <v>0</v>
      </c>
      <c r="AP69" s="240">
        <f t="shared" si="20"/>
        <v>56</v>
      </c>
      <c r="AR69" s="208">
        <f>AR68</f>
        <v>1235.865711566911</v>
      </c>
      <c r="AS69" s="199">
        <v>0</v>
      </c>
      <c r="AT69" s="240">
        <f t="shared" si="21"/>
        <v>64</v>
      </c>
      <c r="AV69" s="208">
        <f>AV68</f>
        <v>1235.865711566911</v>
      </c>
      <c r="AW69" s="199">
        <v>0</v>
      </c>
      <c r="AX69" s="240">
        <f t="shared" si="22"/>
        <v>72</v>
      </c>
    </row>
    <row r="70" spans="12:50" ht="12.75">
      <c r="L70" s="207">
        <f>Computation!B58</f>
        <v>1338.8545208641535</v>
      </c>
      <c r="M70" s="206">
        <v>0</v>
      </c>
      <c r="N70" s="246">
        <f t="shared" si="13"/>
        <v>0</v>
      </c>
      <c r="P70" s="205">
        <f>Computation!B77</f>
        <v>1338.8545208641535</v>
      </c>
      <c r="Q70" s="206">
        <v>0</v>
      </c>
      <c r="R70" s="247">
        <f t="shared" si="14"/>
        <v>8</v>
      </c>
      <c r="T70" s="205">
        <f>Computation!B96</f>
        <v>1338.8545208641535</v>
      </c>
      <c r="U70" s="206">
        <v>0</v>
      </c>
      <c r="V70" s="246">
        <f t="shared" si="15"/>
        <v>16</v>
      </c>
      <c r="X70" s="205">
        <f>Computation!B115</f>
        <v>1338.8545208641535</v>
      </c>
      <c r="Y70" s="206">
        <v>0</v>
      </c>
      <c r="Z70" s="246">
        <f t="shared" si="16"/>
        <v>24</v>
      </c>
      <c r="AB70" s="207">
        <f>Computation!B134</f>
        <v>1338.8545208641535</v>
      </c>
      <c r="AC70" s="206">
        <v>0</v>
      </c>
      <c r="AD70" s="246">
        <f t="shared" si="17"/>
        <v>32</v>
      </c>
      <c r="AF70" s="205">
        <f>Computation!B153</f>
        <v>1338.8545208641535</v>
      </c>
      <c r="AG70" s="206">
        <v>0</v>
      </c>
      <c r="AH70" s="246">
        <f t="shared" si="18"/>
        <v>40</v>
      </c>
      <c r="AJ70" s="205">
        <f>Computation!B172</f>
        <v>1338.8545208641535</v>
      </c>
      <c r="AK70" s="206">
        <v>0</v>
      </c>
      <c r="AL70" s="246">
        <f t="shared" si="19"/>
        <v>48</v>
      </c>
      <c r="AN70" s="205">
        <f>Computation!B191</f>
        <v>1338.8545208641535</v>
      </c>
      <c r="AO70" s="206">
        <v>0</v>
      </c>
      <c r="AP70" s="246">
        <f t="shared" si="20"/>
        <v>56</v>
      </c>
      <c r="AR70" s="205">
        <f>Computation!B210</f>
        <v>1338.8545208641535</v>
      </c>
      <c r="AS70" s="206">
        <v>0</v>
      </c>
      <c r="AT70" s="246">
        <f t="shared" si="21"/>
        <v>64</v>
      </c>
      <c r="AV70" s="205">
        <f>Computation!B229</f>
        <v>1338.8545208641535</v>
      </c>
      <c r="AW70" s="206">
        <v>0</v>
      </c>
      <c r="AX70" s="246">
        <f t="shared" si="22"/>
        <v>72</v>
      </c>
    </row>
    <row r="71" spans="12:50" ht="12.75">
      <c r="L71" s="207">
        <f>L70</f>
        <v>1338.8545208641535</v>
      </c>
      <c r="M71" s="206">
        <f>IF(Computation!F58=0,0,1)</f>
        <v>0</v>
      </c>
      <c r="N71" s="246">
        <f t="shared" si="13"/>
        <v>0</v>
      </c>
      <c r="P71" s="205">
        <f>P70</f>
        <v>1338.8545208641535</v>
      </c>
      <c r="Q71" s="206">
        <f>IF(Computation!F77=0,0,1)</f>
        <v>0</v>
      </c>
      <c r="R71" s="247">
        <f t="shared" si="14"/>
        <v>8</v>
      </c>
      <c r="T71" s="205">
        <f>T70</f>
        <v>1338.8545208641535</v>
      </c>
      <c r="U71" s="206">
        <f>IF(Computation!F96=0,0,1)</f>
        <v>0</v>
      </c>
      <c r="V71" s="246">
        <f t="shared" si="15"/>
        <v>16</v>
      </c>
      <c r="X71" s="205">
        <f>X70</f>
        <v>1338.8545208641535</v>
      </c>
      <c r="Y71" s="206">
        <f>IF(Computation!F115=0,0,1)</f>
        <v>0</v>
      </c>
      <c r="Z71" s="246">
        <f t="shared" si="16"/>
        <v>24</v>
      </c>
      <c r="AB71" s="207">
        <f>AB70</f>
        <v>1338.8545208641535</v>
      </c>
      <c r="AC71" s="206">
        <f>IF(Computation!F134=0,0,1)</f>
        <v>0</v>
      </c>
      <c r="AD71" s="246">
        <f t="shared" si="17"/>
        <v>32</v>
      </c>
      <c r="AF71" s="205">
        <f>AF70</f>
        <v>1338.8545208641535</v>
      </c>
      <c r="AG71" s="206">
        <f>IF(Computation!F153=0,0,1)</f>
        <v>0</v>
      </c>
      <c r="AH71" s="246">
        <f t="shared" si="18"/>
        <v>40</v>
      </c>
      <c r="AJ71" s="205">
        <f>AJ70</f>
        <v>1338.8545208641535</v>
      </c>
      <c r="AK71" s="206">
        <f>IF(Computation!F172=0,0,1)</f>
        <v>0</v>
      </c>
      <c r="AL71" s="246">
        <f t="shared" si="19"/>
        <v>48</v>
      </c>
      <c r="AN71" s="205">
        <f>AN70</f>
        <v>1338.8545208641535</v>
      </c>
      <c r="AO71" s="206">
        <f>IF(Computation!F191=0,0,1)</f>
        <v>0</v>
      </c>
      <c r="AP71" s="246">
        <f t="shared" si="20"/>
        <v>56</v>
      </c>
      <c r="AR71" s="205">
        <f>AR70</f>
        <v>1338.8545208641535</v>
      </c>
      <c r="AS71" s="206">
        <f>IF(Computation!F210=0,0,1)</f>
        <v>0</v>
      </c>
      <c r="AT71" s="246">
        <f t="shared" si="21"/>
        <v>64</v>
      </c>
      <c r="AV71" s="205">
        <f>AV70</f>
        <v>1338.8545208641535</v>
      </c>
      <c r="AW71" s="206">
        <f>IF(Computation!F229=0,0,1)</f>
        <v>0</v>
      </c>
      <c r="AX71" s="246">
        <f t="shared" si="22"/>
        <v>72</v>
      </c>
    </row>
    <row r="72" spans="12:50" ht="12.75">
      <c r="L72" s="207">
        <f>L71+Computation!F58</f>
        <v>1338.8545208641535</v>
      </c>
      <c r="M72" s="206">
        <f>M71</f>
        <v>0</v>
      </c>
      <c r="N72" s="246">
        <f t="shared" si="13"/>
        <v>0</v>
      </c>
      <c r="P72" s="205">
        <f>P71+Computation!F77</f>
        <v>1338.8545208641535</v>
      </c>
      <c r="Q72" s="206">
        <f>Q71</f>
        <v>0</v>
      </c>
      <c r="R72" s="247">
        <f t="shared" si="14"/>
        <v>8</v>
      </c>
      <c r="T72" s="205">
        <f>T71+Computation!F96</f>
        <v>1338.8545208641535</v>
      </c>
      <c r="U72" s="206">
        <f>U71</f>
        <v>0</v>
      </c>
      <c r="V72" s="246">
        <f t="shared" si="15"/>
        <v>16</v>
      </c>
      <c r="X72" s="205">
        <f>X71+Computation!F115</f>
        <v>1338.8545208641535</v>
      </c>
      <c r="Y72" s="206">
        <f>Y71</f>
        <v>0</v>
      </c>
      <c r="Z72" s="246">
        <f t="shared" si="16"/>
        <v>24</v>
      </c>
      <c r="AB72" s="207">
        <f>AB71+Computation!F134</f>
        <v>1338.8545208641535</v>
      </c>
      <c r="AC72" s="206">
        <f>AC71</f>
        <v>0</v>
      </c>
      <c r="AD72" s="246">
        <f t="shared" si="17"/>
        <v>32</v>
      </c>
      <c r="AF72" s="205">
        <f>AF71+Computation!F153</f>
        <v>1338.8545208641535</v>
      </c>
      <c r="AG72" s="206">
        <f>AG71</f>
        <v>0</v>
      </c>
      <c r="AH72" s="246">
        <f t="shared" si="18"/>
        <v>40</v>
      </c>
      <c r="AJ72" s="205">
        <f>AJ71+Computation!F172</f>
        <v>1338.8545208641535</v>
      </c>
      <c r="AK72" s="206">
        <f>AK71</f>
        <v>0</v>
      </c>
      <c r="AL72" s="246">
        <f t="shared" si="19"/>
        <v>48</v>
      </c>
      <c r="AN72" s="205">
        <f>AN71+Computation!F191</f>
        <v>1338.8545208641535</v>
      </c>
      <c r="AO72" s="206">
        <f>AO71</f>
        <v>0</v>
      </c>
      <c r="AP72" s="246">
        <f t="shared" si="20"/>
        <v>56</v>
      </c>
      <c r="AR72" s="205">
        <f>AR71+Computation!F210</f>
        <v>1338.8545208641535</v>
      </c>
      <c r="AS72" s="206">
        <f>AS71</f>
        <v>0</v>
      </c>
      <c r="AT72" s="246">
        <f t="shared" si="21"/>
        <v>64</v>
      </c>
      <c r="AV72" s="205">
        <f>AV71+Computation!F229</f>
        <v>1338.8545208641535</v>
      </c>
      <c r="AW72" s="206">
        <f>AW71</f>
        <v>0</v>
      </c>
      <c r="AX72" s="246">
        <f t="shared" si="22"/>
        <v>72</v>
      </c>
    </row>
    <row r="73" spans="12:50" ht="12.75">
      <c r="L73" s="207">
        <f>L72</f>
        <v>1338.8545208641535</v>
      </c>
      <c r="M73" s="206">
        <v>0</v>
      </c>
      <c r="N73" s="246">
        <f t="shared" si="13"/>
        <v>0</v>
      </c>
      <c r="P73" s="205">
        <f>P72</f>
        <v>1338.8545208641535</v>
      </c>
      <c r="Q73" s="206">
        <v>0</v>
      </c>
      <c r="R73" s="247">
        <f t="shared" si="14"/>
        <v>8</v>
      </c>
      <c r="T73" s="205">
        <f>T72</f>
        <v>1338.8545208641535</v>
      </c>
      <c r="U73" s="206">
        <v>0</v>
      </c>
      <c r="V73" s="246">
        <f t="shared" si="15"/>
        <v>16</v>
      </c>
      <c r="X73" s="205">
        <f>X72</f>
        <v>1338.8545208641535</v>
      </c>
      <c r="Y73" s="206">
        <v>0</v>
      </c>
      <c r="Z73" s="246">
        <f t="shared" si="16"/>
        <v>24</v>
      </c>
      <c r="AB73" s="207">
        <f>AB72</f>
        <v>1338.8545208641535</v>
      </c>
      <c r="AC73" s="206">
        <v>0</v>
      </c>
      <c r="AD73" s="246">
        <f t="shared" si="17"/>
        <v>32</v>
      </c>
      <c r="AF73" s="205">
        <f>AF72</f>
        <v>1338.8545208641535</v>
      </c>
      <c r="AG73" s="206">
        <v>0</v>
      </c>
      <c r="AH73" s="246">
        <f t="shared" si="18"/>
        <v>40</v>
      </c>
      <c r="AJ73" s="205">
        <f>AJ72</f>
        <v>1338.8545208641535</v>
      </c>
      <c r="AK73" s="206">
        <v>0</v>
      </c>
      <c r="AL73" s="246">
        <f t="shared" si="19"/>
        <v>48</v>
      </c>
      <c r="AN73" s="205">
        <f>AN72</f>
        <v>1338.8545208641535</v>
      </c>
      <c r="AO73" s="206">
        <v>0</v>
      </c>
      <c r="AP73" s="246">
        <f t="shared" si="20"/>
        <v>56</v>
      </c>
      <c r="AR73" s="205">
        <f>AR72</f>
        <v>1338.8545208641535</v>
      </c>
      <c r="AS73" s="206">
        <v>0</v>
      </c>
      <c r="AT73" s="246">
        <f t="shared" si="21"/>
        <v>64</v>
      </c>
      <c r="AV73" s="205">
        <f>AV72</f>
        <v>1338.8545208641535</v>
      </c>
      <c r="AW73" s="206">
        <v>0</v>
      </c>
      <c r="AX73" s="246">
        <f t="shared" si="22"/>
        <v>72</v>
      </c>
    </row>
    <row r="74" spans="12:50" ht="12.75">
      <c r="L74" s="198">
        <f>Computation!B59</f>
        <v>1441.8433301613961</v>
      </c>
      <c r="M74" s="199">
        <v>0</v>
      </c>
      <c r="N74" s="240">
        <f t="shared" si="13"/>
        <v>0</v>
      </c>
      <c r="P74" s="208">
        <f>Computation!B78</f>
        <v>1441.8433301613961</v>
      </c>
      <c r="Q74" s="199">
        <v>0</v>
      </c>
      <c r="R74" s="242">
        <f t="shared" si="14"/>
        <v>8</v>
      </c>
      <c r="T74" s="208">
        <f>Computation!B97</f>
        <v>1441.8433301613961</v>
      </c>
      <c r="U74" s="199">
        <v>0</v>
      </c>
      <c r="V74" s="240">
        <f t="shared" si="15"/>
        <v>16</v>
      </c>
      <c r="X74" s="208">
        <f>Computation!B116</f>
        <v>1441.8433301613961</v>
      </c>
      <c r="Y74" s="199">
        <v>0</v>
      </c>
      <c r="Z74" s="240">
        <f t="shared" si="16"/>
        <v>24</v>
      </c>
      <c r="AB74" s="198">
        <f>Computation!B135</f>
        <v>1441.8433301613961</v>
      </c>
      <c r="AC74" s="199">
        <v>0</v>
      </c>
      <c r="AD74" s="240">
        <f t="shared" si="17"/>
        <v>32</v>
      </c>
      <c r="AF74" s="208">
        <f>Computation!B154</f>
        <v>1441.8433301613961</v>
      </c>
      <c r="AG74" s="199">
        <v>0</v>
      </c>
      <c r="AH74" s="240">
        <f t="shared" si="18"/>
        <v>40</v>
      </c>
      <c r="AJ74" s="208">
        <f>Computation!B173</f>
        <v>1441.8433301613961</v>
      </c>
      <c r="AK74" s="199">
        <v>0</v>
      </c>
      <c r="AL74" s="240">
        <f t="shared" si="19"/>
        <v>48</v>
      </c>
      <c r="AN74" s="208">
        <f>Computation!B192</f>
        <v>1441.8433301613961</v>
      </c>
      <c r="AO74" s="199">
        <v>0</v>
      </c>
      <c r="AP74" s="240">
        <f t="shared" si="20"/>
        <v>56</v>
      </c>
      <c r="AR74" s="208">
        <f>Computation!B211</f>
        <v>1441.8433301613961</v>
      </c>
      <c r="AS74" s="199">
        <v>0</v>
      </c>
      <c r="AT74" s="240">
        <f t="shared" si="21"/>
        <v>64</v>
      </c>
      <c r="AV74" s="208">
        <f>Computation!B230</f>
        <v>1441.8433301613961</v>
      </c>
      <c r="AW74" s="199">
        <v>0</v>
      </c>
      <c r="AX74" s="240">
        <f t="shared" si="22"/>
        <v>72</v>
      </c>
    </row>
    <row r="75" spans="12:50" ht="12.75">
      <c r="L75" s="198">
        <f>L74</f>
        <v>1441.8433301613961</v>
      </c>
      <c r="M75" s="199">
        <f>IF(Computation!F59=0,0,1)</f>
        <v>0</v>
      </c>
      <c r="N75" s="240">
        <f t="shared" si="13"/>
        <v>0</v>
      </c>
      <c r="P75" s="208">
        <f>P74</f>
        <v>1441.8433301613961</v>
      </c>
      <c r="Q75" s="199">
        <f>IF(Computation!F78=0,0,1)</f>
        <v>0</v>
      </c>
      <c r="R75" s="242">
        <f t="shared" si="14"/>
        <v>8</v>
      </c>
      <c r="T75" s="208">
        <f>T74</f>
        <v>1441.8433301613961</v>
      </c>
      <c r="U75" s="199">
        <f>IF(Computation!F97=0,0,1)</f>
        <v>0</v>
      </c>
      <c r="V75" s="240">
        <f t="shared" si="15"/>
        <v>16</v>
      </c>
      <c r="X75" s="208">
        <f>X74</f>
        <v>1441.8433301613961</v>
      </c>
      <c r="Y75" s="199">
        <f>IF(Computation!F116=0,0,1)</f>
        <v>0</v>
      </c>
      <c r="Z75" s="240">
        <f t="shared" si="16"/>
        <v>24</v>
      </c>
      <c r="AB75" s="198">
        <f>AB74</f>
        <v>1441.8433301613961</v>
      </c>
      <c r="AC75" s="199">
        <f>IF(Computation!F135=0,0,1)</f>
        <v>0</v>
      </c>
      <c r="AD75" s="240">
        <f t="shared" si="17"/>
        <v>32</v>
      </c>
      <c r="AF75" s="208">
        <f>AF74</f>
        <v>1441.8433301613961</v>
      </c>
      <c r="AG75" s="199">
        <f>IF(Computation!F154=0,0,1)</f>
        <v>0</v>
      </c>
      <c r="AH75" s="240">
        <f t="shared" si="18"/>
        <v>40</v>
      </c>
      <c r="AJ75" s="208">
        <f>AJ74</f>
        <v>1441.8433301613961</v>
      </c>
      <c r="AK75" s="199">
        <f>IF(Computation!F173=0,0,1)</f>
        <v>0</v>
      </c>
      <c r="AL75" s="240">
        <f t="shared" si="19"/>
        <v>48</v>
      </c>
      <c r="AN75" s="208">
        <f>AN74</f>
        <v>1441.8433301613961</v>
      </c>
      <c r="AO75" s="199">
        <f>IF(Computation!F192=0,0,1)</f>
        <v>0</v>
      </c>
      <c r="AP75" s="240">
        <f t="shared" si="20"/>
        <v>56</v>
      </c>
      <c r="AR75" s="208">
        <f>AR74</f>
        <v>1441.8433301613961</v>
      </c>
      <c r="AS75" s="199">
        <f>IF(Computation!F211=0,0,1)</f>
        <v>0</v>
      </c>
      <c r="AT75" s="240">
        <f t="shared" si="21"/>
        <v>64</v>
      </c>
      <c r="AV75" s="208">
        <f>AV74</f>
        <v>1441.8433301613961</v>
      </c>
      <c r="AW75" s="199">
        <f>IF(Computation!F230=0,0,1)</f>
        <v>0</v>
      </c>
      <c r="AX75" s="240">
        <f t="shared" si="22"/>
        <v>72</v>
      </c>
    </row>
    <row r="76" spans="12:50" ht="12.75">
      <c r="L76" s="198">
        <f>L75+Computation!F59</f>
        <v>1441.8433301613961</v>
      </c>
      <c r="M76" s="199">
        <f>M75</f>
        <v>0</v>
      </c>
      <c r="N76" s="240">
        <f t="shared" si="13"/>
        <v>0</v>
      </c>
      <c r="P76" s="208">
        <f>P75+Computation!F78</f>
        <v>1441.8433301613961</v>
      </c>
      <c r="Q76" s="199">
        <f>Q75</f>
        <v>0</v>
      </c>
      <c r="R76" s="242">
        <f t="shared" si="14"/>
        <v>8</v>
      </c>
      <c r="T76" s="208">
        <f>T75+Computation!F97</f>
        <v>1441.8433301613961</v>
      </c>
      <c r="U76" s="199">
        <f>U75</f>
        <v>0</v>
      </c>
      <c r="V76" s="240">
        <f t="shared" si="15"/>
        <v>16</v>
      </c>
      <c r="X76" s="208">
        <f>X75+Computation!F116</f>
        <v>1441.8433301613961</v>
      </c>
      <c r="Y76" s="199">
        <f>Y75</f>
        <v>0</v>
      </c>
      <c r="Z76" s="240">
        <f t="shared" si="16"/>
        <v>24</v>
      </c>
      <c r="AB76" s="198">
        <f>AB75+Computation!F135</f>
        <v>1441.8433301613961</v>
      </c>
      <c r="AC76" s="199">
        <f>AC75</f>
        <v>0</v>
      </c>
      <c r="AD76" s="240">
        <f t="shared" si="17"/>
        <v>32</v>
      </c>
      <c r="AF76" s="208">
        <f>AF75+Computation!F154</f>
        <v>1441.8433301613961</v>
      </c>
      <c r="AG76" s="199">
        <f>AG75</f>
        <v>0</v>
      </c>
      <c r="AH76" s="240">
        <f t="shared" si="18"/>
        <v>40</v>
      </c>
      <c r="AJ76" s="208">
        <f>AJ75+Computation!F173</f>
        <v>1441.8433301613961</v>
      </c>
      <c r="AK76" s="199">
        <f>AK75</f>
        <v>0</v>
      </c>
      <c r="AL76" s="240">
        <f t="shared" si="19"/>
        <v>48</v>
      </c>
      <c r="AN76" s="208">
        <f>AN75+Computation!F192</f>
        <v>1441.8433301613961</v>
      </c>
      <c r="AO76" s="199">
        <f>AO75</f>
        <v>0</v>
      </c>
      <c r="AP76" s="240">
        <f t="shared" si="20"/>
        <v>56</v>
      </c>
      <c r="AR76" s="208">
        <f>AR75+Computation!F211</f>
        <v>1441.8433301613961</v>
      </c>
      <c r="AS76" s="199">
        <f>AS75</f>
        <v>0</v>
      </c>
      <c r="AT76" s="240">
        <f t="shared" si="21"/>
        <v>64</v>
      </c>
      <c r="AV76" s="208">
        <f>AV75+Computation!F230</f>
        <v>1441.8433301613961</v>
      </c>
      <c r="AW76" s="199">
        <f>AW75</f>
        <v>0</v>
      </c>
      <c r="AX76" s="240">
        <f t="shared" si="22"/>
        <v>72</v>
      </c>
    </row>
    <row r="77" spans="12:50" ht="12.75">
      <c r="L77" s="198">
        <f>L76</f>
        <v>1441.8433301613961</v>
      </c>
      <c r="M77" s="199">
        <v>0</v>
      </c>
      <c r="N77" s="240">
        <f t="shared" si="13"/>
        <v>0</v>
      </c>
      <c r="P77" s="208">
        <f>P76</f>
        <v>1441.8433301613961</v>
      </c>
      <c r="Q77" s="199">
        <v>0</v>
      </c>
      <c r="R77" s="242">
        <f t="shared" si="14"/>
        <v>8</v>
      </c>
      <c r="T77" s="208">
        <f>T76</f>
        <v>1441.8433301613961</v>
      </c>
      <c r="U77" s="199">
        <v>0</v>
      </c>
      <c r="V77" s="240">
        <f t="shared" si="15"/>
        <v>16</v>
      </c>
      <c r="X77" s="208">
        <f>X76</f>
        <v>1441.8433301613961</v>
      </c>
      <c r="Y77" s="199">
        <v>0</v>
      </c>
      <c r="Z77" s="240">
        <f t="shared" si="16"/>
        <v>24</v>
      </c>
      <c r="AB77" s="198">
        <f>AB76</f>
        <v>1441.8433301613961</v>
      </c>
      <c r="AC77" s="199">
        <v>0</v>
      </c>
      <c r="AD77" s="240">
        <f t="shared" si="17"/>
        <v>32</v>
      </c>
      <c r="AF77" s="208">
        <f>AF76</f>
        <v>1441.8433301613961</v>
      </c>
      <c r="AG77" s="199">
        <v>0</v>
      </c>
      <c r="AH77" s="240">
        <f t="shared" si="18"/>
        <v>40</v>
      </c>
      <c r="AJ77" s="208">
        <f>AJ76</f>
        <v>1441.8433301613961</v>
      </c>
      <c r="AK77" s="199">
        <v>0</v>
      </c>
      <c r="AL77" s="240">
        <f t="shared" si="19"/>
        <v>48</v>
      </c>
      <c r="AN77" s="208">
        <f>AN76</f>
        <v>1441.8433301613961</v>
      </c>
      <c r="AO77" s="199">
        <v>0</v>
      </c>
      <c r="AP77" s="240">
        <f t="shared" si="20"/>
        <v>56</v>
      </c>
      <c r="AR77" s="208">
        <f>AR76</f>
        <v>1441.8433301613961</v>
      </c>
      <c r="AS77" s="199">
        <v>0</v>
      </c>
      <c r="AT77" s="240">
        <f t="shared" si="21"/>
        <v>64</v>
      </c>
      <c r="AV77" s="208">
        <f>AV76</f>
        <v>1441.8433301613961</v>
      </c>
      <c r="AW77" s="199">
        <v>0</v>
      </c>
      <c r="AX77" s="240">
        <f t="shared" si="22"/>
        <v>72</v>
      </c>
    </row>
    <row r="78" spans="12:50" ht="12.75">
      <c r="L78" s="207">
        <f>Computation!B60</f>
        <v>1544.8321394586387</v>
      </c>
      <c r="M78" s="206">
        <v>0</v>
      </c>
      <c r="N78" s="246">
        <f t="shared" si="13"/>
        <v>0</v>
      </c>
      <c r="P78" s="205">
        <f>Computation!B79</f>
        <v>1544.8321394586387</v>
      </c>
      <c r="Q78" s="206">
        <v>0</v>
      </c>
      <c r="R78" s="247">
        <f t="shared" si="14"/>
        <v>8</v>
      </c>
      <c r="T78" s="205">
        <f>Computation!B98</f>
        <v>1544.8321394586387</v>
      </c>
      <c r="U78" s="206">
        <v>0</v>
      </c>
      <c r="V78" s="246">
        <f t="shared" si="15"/>
        <v>16</v>
      </c>
      <c r="X78" s="205">
        <f>Computation!B117</f>
        <v>1544.8321394586387</v>
      </c>
      <c r="Y78" s="206">
        <v>0</v>
      </c>
      <c r="Z78" s="246">
        <f t="shared" si="16"/>
        <v>24</v>
      </c>
      <c r="AB78" s="207">
        <f>Computation!B136</f>
        <v>1544.8321394586387</v>
      </c>
      <c r="AC78" s="206">
        <v>0</v>
      </c>
      <c r="AD78" s="246">
        <f t="shared" si="17"/>
        <v>32</v>
      </c>
      <c r="AF78" s="205">
        <f>Computation!B155</f>
        <v>1544.8321394586387</v>
      </c>
      <c r="AG78" s="206">
        <v>0</v>
      </c>
      <c r="AH78" s="246">
        <f t="shared" si="18"/>
        <v>40</v>
      </c>
      <c r="AJ78" s="205">
        <f>Computation!B174</f>
        <v>1544.8321394586387</v>
      </c>
      <c r="AK78" s="206">
        <v>0</v>
      </c>
      <c r="AL78" s="246">
        <f t="shared" si="19"/>
        <v>48</v>
      </c>
      <c r="AN78" s="205">
        <f>Computation!B193</f>
        <v>1544.8321394586387</v>
      </c>
      <c r="AO78" s="206">
        <v>0</v>
      </c>
      <c r="AP78" s="246">
        <f t="shared" si="20"/>
        <v>56</v>
      </c>
      <c r="AR78" s="205">
        <f>Computation!B212</f>
        <v>1544.8321394586387</v>
      </c>
      <c r="AS78" s="206">
        <v>0</v>
      </c>
      <c r="AT78" s="246">
        <f t="shared" si="21"/>
        <v>64</v>
      </c>
      <c r="AV78" s="205">
        <f>Computation!B231</f>
        <v>1544.8321394586387</v>
      </c>
      <c r="AW78" s="206">
        <v>0</v>
      </c>
      <c r="AX78" s="246">
        <f t="shared" si="22"/>
        <v>72</v>
      </c>
    </row>
    <row r="79" spans="12:50" ht="12.75">
      <c r="L79" s="207">
        <f>L78</f>
        <v>1544.8321394586387</v>
      </c>
      <c r="M79" s="206">
        <f>IF(Computation!F60=0,0,1)</f>
        <v>0</v>
      </c>
      <c r="N79" s="246">
        <f t="shared" si="13"/>
        <v>0</v>
      </c>
      <c r="P79" s="205">
        <f>P78</f>
        <v>1544.8321394586387</v>
      </c>
      <c r="Q79" s="206">
        <f>IF(Computation!F79=0,0,1)</f>
        <v>0</v>
      </c>
      <c r="R79" s="247">
        <f t="shared" si="14"/>
        <v>8</v>
      </c>
      <c r="T79" s="205">
        <f>T78</f>
        <v>1544.8321394586387</v>
      </c>
      <c r="U79" s="206">
        <f>IF(Computation!F98=0,0,1)</f>
        <v>0</v>
      </c>
      <c r="V79" s="246">
        <f t="shared" si="15"/>
        <v>16</v>
      </c>
      <c r="X79" s="205">
        <f>X78</f>
        <v>1544.8321394586387</v>
      </c>
      <c r="Y79" s="206">
        <f>IF(Computation!F117=0,0,1)</f>
        <v>0</v>
      </c>
      <c r="Z79" s="246">
        <f t="shared" si="16"/>
        <v>24</v>
      </c>
      <c r="AB79" s="207">
        <f>AB78</f>
        <v>1544.8321394586387</v>
      </c>
      <c r="AC79" s="206">
        <f>IF(Computation!F136=0,0,1)</f>
        <v>0</v>
      </c>
      <c r="AD79" s="246">
        <f t="shared" si="17"/>
        <v>32</v>
      </c>
      <c r="AF79" s="205">
        <f>AF78</f>
        <v>1544.8321394586387</v>
      </c>
      <c r="AG79" s="206">
        <f>IF(Computation!F155=0,0,1)</f>
        <v>0</v>
      </c>
      <c r="AH79" s="246">
        <f t="shared" si="18"/>
        <v>40</v>
      </c>
      <c r="AJ79" s="205">
        <f>AJ78</f>
        <v>1544.8321394586387</v>
      </c>
      <c r="AK79" s="206">
        <f>IF(Computation!F174=0,0,1)</f>
        <v>0</v>
      </c>
      <c r="AL79" s="246">
        <f t="shared" si="19"/>
        <v>48</v>
      </c>
      <c r="AN79" s="205">
        <f>AN78</f>
        <v>1544.8321394586387</v>
      </c>
      <c r="AO79" s="206">
        <f>IF(Computation!F193=0,0,1)</f>
        <v>0</v>
      </c>
      <c r="AP79" s="246">
        <f t="shared" si="20"/>
        <v>56</v>
      </c>
      <c r="AR79" s="205">
        <f>AR78</f>
        <v>1544.8321394586387</v>
      </c>
      <c r="AS79" s="206">
        <f>IF(Computation!F212=0,0,1)</f>
        <v>0</v>
      </c>
      <c r="AT79" s="246">
        <f t="shared" si="21"/>
        <v>64</v>
      </c>
      <c r="AV79" s="205">
        <f>AV78</f>
        <v>1544.8321394586387</v>
      </c>
      <c r="AW79" s="206">
        <f>IF(Computation!F231=0,0,1)</f>
        <v>0</v>
      </c>
      <c r="AX79" s="246">
        <f t="shared" si="22"/>
        <v>72</v>
      </c>
    </row>
    <row r="80" spans="12:50" ht="12.75">
      <c r="L80" s="207">
        <f>L79+Computation!F60</f>
        <v>1544.8321394586387</v>
      </c>
      <c r="M80" s="206">
        <f>M79</f>
        <v>0</v>
      </c>
      <c r="N80" s="246">
        <f t="shared" si="13"/>
        <v>0</v>
      </c>
      <c r="P80" s="205">
        <f>P79+Computation!F79</f>
        <v>1544.8321394586387</v>
      </c>
      <c r="Q80" s="206">
        <f>Q79</f>
        <v>0</v>
      </c>
      <c r="R80" s="247">
        <f t="shared" si="14"/>
        <v>8</v>
      </c>
      <c r="T80" s="205">
        <f>T79+Computation!F98</f>
        <v>1544.8321394586387</v>
      </c>
      <c r="U80" s="206">
        <f>U79</f>
        <v>0</v>
      </c>
      <c r="V80" s="246">
        <f t="shared" si="15"/>
        <v>16</v>
      </c>
      <c r="X80" s="205">
        <f>X79+Computation!F117</f>
        <v>1544.8321394586387</v>
      </c>
      <c r="Y80" s="206">
        <f>Y79</f>
        <v>0</v>
      </c>
      <c r="Z80" s="246">
        <f t="shared" si="16"/>
        <v>24</v>
      </c>
      <c r="AB80" s="207">
        <f>AB79+Computation!F136</f>
        <v>1544.8321394586387</v>
      </c>
      <c r="AC80" s="206">
        <f>AC79</f>
        <v>0</v>
      </c>
      <c r="AD80" s="246">
        <f t="shared" si="17"/>
        <v>32</v>
      </c>
      <c r="AF80" s="205">
        <f>AF79+Computation!F155</f>
        <v>1544.8321394586387</v>
      </c>
      <c r="AG80" s="206">
        <f>AG79</f>
        <v>0</v>
      </c>
      <c r="AH80" s="246">
        <f t="shared" si="18"/>
        <v>40</v>
      </c>
      <c r="AJ80" s="205">
        <f>AJ79+Computation!F174</f>
        <v>1544.8321394586387</v>
      </c>
      <c r="AK80" s="206">
        <f>AK79</f>
        <v>0</v>
      </c>
      <c r="AL80" s="246">
        <f t="shared" si="19"/>
        <v>48</v>
      </c>
      <c r="AN80" s="205">
        <f>AN79+Computation!F193</f>
        <v>1544.8321394586387</v>
      </c>
      <c r="AO80" s="206">
        <f>AO79</f>
        <v>0</v>
      </c>
      <c r="AP80" s="246">
        <f t="shared" si="20"/>
        <v>56</v>
      </c>
      <c r="AR80" s="205">
        <f>AR79+Computation!F212</f>
        <v>1544.8321394586387</v>
      </c>
      <c r="AS80" s="206">
        <f>AS79</f>
        <v>0</v>
      </c>
      <c r="AT80" s="246">
        <f t="shared" si="21"/>
        <v>64</v>
      </c>
      <c r="AV80" s="205">
        <f>AV79+Computation!F231</f>
        <v>1544.8321394586387</v>
      </c>
      <c r="AW80" s="206">
        <f>AW79</f>
        <v>0</v>
      </c>
      <c r="AX80" s="246">
        <f t="shared" si="22"/>
        <v>72</v>
      </c>
    </row>
    <row r="81" spans="12:50" ht="12.75">
      <c r="L81" s="207">
        <f>L80</f>
        <v>1544.8321394586387</v>
      </c>
      <c r="M81" s="206">
        <v>0</v>
      </c>
      <c r="N81" s="246">
        <f t="shared" si="13"/>
        <v>0</v>
      </c>
      <c r="P81" s="205">
        <f>P80</f>
        <v>1544.8321394586387</v>
      </c>
      <c r="Q81" s="206">
        <v>0</v>
      </c>
      <c r="R81" s="247">
        <f t="shared" si="14"/>
        <v>8</v>
      </c>
      <c r="T81" s="205">
        <f>T80</f>
        <v>1544.8321394586387</v>
      </c>
      <c r="U81" s="206">
        <v>0</v>
      </c>
      <c r="V81" s="246">
        <f t="shared" si="15"/>
        <v>16</v>
      </c>
      <c r="X81" s="205">
        <f>X80</f>
        <v>1544.8321394586387</v>
      </c>
      <c r="Y81" s="206">
        <v>0</v>
      </c>
      <c r="Z81" s="246">
        <f t="shared" si="16"/>
        <v>24</v>
      </c>
      <c r="AB81" s="207">
        <f>AB80</f>
        <v>1544.8321394586387</v>
      </c>
      <c r="AC81" s="206">
        <v>0</v>
      </c>
      <c r="AD81" s="246">
        <f t="shared" si="17"/>
        <v>32</v>
      </c>
      <c r="AF81" s="205">
        <f>AF80</f>
        <v>1544.8321394586387</v>
      </c>
      <c r="AG81" s="206">
        <v>0</v>
      </c>
      <c r="AH81" s="246">
        <f t="shared" si="18"/>
        <v>40</v>
      </c>
      <c r="AJ81" s="205">
        <f>AJ80</f>
        <v>1544.8321394586387</v>
      </c>
      <c r="AK81" s="206">
        <v>0</v>
      </c>
      <c r="AL81" s="246">
        <f t="shared" si="19"/>
        <v>48</v>
      </c>
      <c r="AN81" s="205">
        <f>AN80</f>
        <v>1544.8321394586387</v>
      </c>
      <c r="AO81" s="206">
        <v>0</v>
      </c>
      <c r="AP81" s="246">
        <f t="shared" si="20"/>
        <v>56</v>
      </c>
      <c r="AR81" s="205">
        <f>AR80</f>
        <v>1544.8321394586387</v>
      </c>
      <c r="AS81" s="206">
        <v>0</v>
      </c>
      <c r="AT81" s="246">
        <f t="shared" si="21"/>
        <v>64</v>
      </c>
      <c r="AV81" s="205">
        <f>AV80</f>
        <v>1544.8321394586387</v>
      </c>
      <c r="AW81" s="206">
        <v>0</v>
      </c>
      <c r="AX81" s="246">
        <f t="shared" si="22"/>
        <v>72</v>
      </c>
    </row>
    <row r="82" spans="12:50" ht="12.75">
      <c r="L82" s="198">
        <f>Computation!B61</f>
        <v>1647.8209487558813</v>
      </c>
      <c r="M82" s="199">
        <v>0</v>
      </c>
      <c r="N82" s="240">
        <f>IF(M82=1,($L$15+($B$18/2)),$L$15)</f>
        <v>0</v>
      </c>
      <c r="P82" s="208">
        <f>Computation!B80</f>
        <v>1647.8209487558813</v>
      </c>
      <c r="Q82" s="199">
        <v>0</v>
      </c>
      <c r="R82" s="242">
        <f>IF(Q82=1,($P$15+$B$18/2),$P$15)</f>
        <v>8</v>
      </c>
      <c r="T82" s="208">
        <f>Computation!B99</f>
        <v>1647.8209487558813</v>
      </c>
      <c r="U82" s="199">
        <v>0</v>
      </c>
      <c r="V82" s="240">
        <f>IF(U82=1,($T$15+$B$18/2),$T$15)</f>
        <v>16</v>
      </c>
      <c r="X82" s="208">
        <f>Computation!B118</f>
        <v>1647.8209487558813</v>
      </c>
      <c r="Y82" s="199">
        <v>0</v>
      </c>
      <c r="Z82" s="240">
        <f>IF(Y82=1,($X$15+$B$18/2),$X$15)</f>
        <v>24</v>
      </c>
      <c r="AB82" s="198">
        <f>Computation!B137</f>
        <v>1647.8209487558813</v>
      </c>
      <c r="AC82" s="199">
        <v>0</v>
      </c>
      <c r="AD82" s="240">
        <f>IF(AC82=1,($AB$15+$B$18/2),$AB$15)</f>
        <v>32</v>
      </c>
      <c r="AF82" s="208">
        <f>Computation!B156</f>
        <v>1647.8209487558813</v>
      </c>
      <c r="AG82" s="199">
        <v>0</v>
      </c>
      <c r="AH82" s="240">
        <f>IF(AG82=1,($AF$15+$B$18/2),$AF$15)</f>
        <v>40</v>
      </c>
      <c r="AJ82" s="208">
        <f>Computation!B175</f>
        <v>1647.8209487558813</v>
      </c>
      <c r="AK82" s="199">
        <v>0</v>
      </c>
      <c r="AL82" s="240">
        <f>IF(AK82=1,($AJ$15+$B$18/2),$AJ$15)</f>
        <v>48</v>
      </c>
      <c r="AN82" s="208">
        <f>Computation!B194</f>
        <v>1647.8209487558813</v>
      </c>
      <c r="AO82" s="199">
        <v>0</v>
      </c>
      <c r="AP82" s="240">
        <f>IF(AO82=1,($AN$15+$B$18/2),$AN$15)</f>
        <v>56</v>
      </c>
      <c r="AR82" s="208">
        <f>Computation!B213</f>
        <v>1647.8209487558813</v>
      </c>
      <c r="AS82" s="199">
        <v>0</v>
      </c>
      <c r="AT82" s="240">
        <f>IF(AS82=1,($AR$15+$B$18/2),$AR$15)</f>
        <v>64</v>
      </c>
      <c r="AV82" s="208">
        <f>Computation!B232</f>
        <v>1647.8209487558813</v>
      </c>
      <c r="AW82" s="199">
        <v>0</v>
      </c>
      <c r="AX82" s="240">
        <f>IF(AW82=1,($AV$15+$B$18/2),$AV$15)</f>
        <v>72</v>
      </c>
    </row>
    <row r="83" spans="12:50" ht="12.75">
      <c r="L83" s="198">
        <f>L82</f>
        <v>1647.8209487558813</v>
      </c>
      <c r="M83" s="199">
        <f>IF(Computation!F61=0,0,1)</f>
        <v>0</v>
      </c>
      <c r="N83" s="240">
        <f>IF(M83=1,($L$15+($B$18/2)),$L$15)</f>
        <v>0</v>
      </c>
      <c r="P83" s="208">
        <f>P82</f>
        <v>1647.8209487558813</v>
      </c>
      <c r="Q83" s="199">
        <f>IF(Computation!F80=0,0,1)</f>
        <v>0</v>
      </c>
      <c r="R83" s="242">
        <f>IF(Q83=1,($P$15+$B$18/2),$P$15)</f>
        <v>8</v>
      </c>
      <c r="T83" s="208">
        <f>T82</f>
        <v>1647.8209487558813</v>
      </c>
      <c r="U83" s="199">
        <f>IF(Computation!F99=0,0,1)</f>
        <v>0</v>
      </c>
      <c r="V83" s="240">
        <f>IF(U83=1,($T$15+$B$18/2),$T$15)</f>
        <v>16</v>
      </c>
      <c r="X83" s="208">
        <f>X82</f>
        <v>1647.8209487558813</v>
      </c>
      <c r="Y83" s="199">
        <f>IF(Computation!F118=0,0,1)</f>
        <v>0</v>
      </c>
      <c r="Z83" s="240">
        <f>IF(Y83=1,($X$15+$B$18/2),$X$15)</f>
        <v>24</v>
      </c>
      <c r="AB83" s="198">
        <f>AB82</f>
        <v>1647.8209487558813</v>
      </c>
      <c r="AC83" s="199">
        <f>IF(Computation!F137=0,0,10)</f>
        <v>0</v>
      </c>
      <c r="AD83" s="240">
        <f>IF(AC83=1,($AB$15+$B$18/2),$AB$15)</f>
        <v>32</v>
      </c>
      <c r="AF83" s="208">
        <f>AF82</f>
        <v>1647.8209487558813</v>
      </c>
      <c r="AG83" s="199">
        <f>IF(Computation!F156=0,0,1)</f>
        <v>0</v>
      </c>
      <c r="AH83" s="240">
        <f>IF(AG83=1,($AF$15+$B$18/2),$AF$15)</f>
        <v>40</v>
      </c>
      <c r="AJ83" s="208">
        <f>AJ82</f>
        <v>1647.8209487558813</v>
      </c>
      <c r="AK83" s="199">
        <f>IF(Computation!F175=0,0,1)</f>
        <v>0</v>
      </c>
      <c r="AL83" s="240">
        <f>IF(AK83=1,($AJ$15+$B$18/2),$AJ$15)</f>
        <v>48</v>
      </c>
      <c r="AN83" s="208">
        <f>AN82</f>
        <v>1647.8209487558813</v>
      </c>
      <c r="AO83" s="199">
        <f>IF(Computation!F194=0,0,1)</f>
        <v>0</v>
      </c>
      <c r="AP83" s="240">
        <f>IF(AO83=1,($AN$15+$B$18/2),$AN$15)</f>
        <v>56</v>
      </c>
      <c r="AR83" s="208">
        <f>AR82</f>
        <v>1647.8209487558813</v>
      </c>
      <c r="AS83" s="199">
        <f>IF(Computation!F213=0,0,1)</f>
        <v>0</v>
      </c>
      <c r="AT83" s="240">
        <f>IF(AS83=1,($AR$15+$B$18/2),$AR$15)</f>
        <v>64</v>
      </c>
      <c r="AV83" s="208">
        <f>AV82</f>
        <v>1647.8209487558813</v>
      </c>
      <c r="AW83" s="199">
        <f>IF(Computation!F232=0,0,1)</f>
        <v>0</v>
      </c>
      <c r="AX83" s="240">
        <f>IF(AW83=1,($AV$15+$B$18/2),$AV$15)</f>
        <v>72</v>
      </c>
    </row>
    <row r="84" spans="12:50" ht="12.75">
      <c r="L84" s="198">
        <f>L83+Computation!F61</f>
        <v>1647.8209487558813</v>
      </c>
      <c r="M84" s="199">
        <f>M83</f>
        <v>0</v>
      </c>
      <c r="N84" s="240">
        <f>IF(M84=1,($L$15+($B$18/2)),$L$15)</f>
        <v>0</v>
      </c>
      <c r="P84" s="208">
        <f>P83+Computation!F80</f>
        <v>1647.8209487558813</v>
      </c>
      <c r="Q84" s="199">
        <f>Q83</f>
        <v>0</v>
      </c>
      <c r="R84" s="242">
        <f>IF(Q84=1,($P$15+$B$18/2),$P$15)</f>
        <v>8</v>
      </c>
      <c r="T84" s="208">
        <f>T83+Computation!F99</f>
        <v>1647.8209487558813</v>
      </c>
      <c r="U84" s="199">
        <f>U83</f>
        <v>0</v>
      </c>
      <c r="V84" s="240">
        <f>IF(U84=1,($T$15+$B$18/2),$T$15)</f>
        <v>16</v>
      </c>
      <c r="X84" s="208">
        <f>X83+Computation!F118</f>
        <v>1647.8209487558813</v>
      </c>
      <c r="Y84" s="199">
        <f>Y83</f>
        <v>0</v>
      </c>
      <c r="Z84" s="240">
        <f>IF(Y84=1,($X$15+$B$18/2),$X$15)</f>
        <v>24</v>
      </c>
      <c r="AB84" s="198">
        <f>AB83+Computation!F137</f>
        <v>1647.8209487558813</v>
      </c>
      <c r="AC84" s="199">
        <f>AC83</f>
        <v>0</v>
      </c>
      <c r="AD84" s="240">
        <f>IF(AC84=1,($AB$15+$B$18/2),$AB$15)</f>
        <v>32</v>
      </c>
      <c r="AF84" s="208">
        <f>AF83+Computation!F156</f>
        <v>1647.8209487558813</v>
      </c>
      <c r="AG84" s="199">
        <f>AG83</f>
        <v>0</v>
      </c>
      <c r="AH84" s="240">
        <f>IF(AG84=1,($AF$15+$B$18/2),$AF$15)</f>
        <v>40</v>
      </c>
      <c r="AJ84" s="208">
        <f>AJ83+Computation!F175</f>
        <v>1647.8209487558813</v>
      </c>
      <c r="AK84" s="199">
        <f>AK83</f>
        <v>0</v>
      </c>
      <c r="AL84" s="240">
        <f>IF(AK84=1,($AJ$15+$B$18/2),$AJ$15)</f>
        <v>48</v>
      </c>
      <c r="AN84" s="208">
        <f>AN83+Computation!F194</f>
        <v>1647.8209487558813</v>
      </c>
      <c r="AO84" s="199">
        <f>AO83</f>
        <v>0</v>
      </c>
      <c r="AP84" s="240">
        <f>IF(AO84=1,($AN$15+$B$18/2),$AN$15)</f>
        <v>56</v>
      </c>
      <c r="AR84" s="208">
        <f>AR83+Computation!F213</f>
        <v>1647.8209487558813</v>
      </c>
      <c r="AS84" s="199">
        <f>AS83</f>
        <v>0</v>
      </c>
      <c r="AT84" s="240">
        <f>IF(AS84=1,($AR$15+$B$18/2),$AR$15)</f>
        <v>64</v>
      </c>
      <c r="AV84" s="208">
        <f>AV83+Computation!F232</f>
        <v>1647.8209487558813</v>
      </c>
      <c r="AW84" s="199">
        <f>AW83</f>
        <v>0</v>
      </c>
      <c r="AX84" s="240">
        <f>IF(AW84=1,($AV$15+$B$18/2),$AV$15)</f>
        <v>72</v>
      </c>
    </row>
    <row r="85" spans="12:50" ht="13.5" thickBot="1">
      <c r="L85" s="209">
        <f>L84</f>
        <v>1647.8209487558813</v>
      </c>
      <c r="M85" s="210">
        <v>0</v>
      </c>
      <c r="N85" s="243">
        <f>IF(M85=1,($L$15+($B$18/2)),$L$15)</f>
        <v>0</v>
      </c>
      <c r="P85" s="209">
        <f>P84</f>
        <v>1647.8209487558813</v>
      </c>
      <c r="Q85" s="210">
        <v>0</v>
      </c>
      <c r="R85" s="244">
        <f>IF(Q85=1,($P$15+$B$18/2),$P$15)</f>
        <v>8</v>
      </c>
      <c r="T85" s="209">
        <f>T84</f>
        <v>1647.8209487558813</v>
      </c>
      <c r="U85" s="210">
        <v>0</v>
      </c>
      <c r="V85" s="243">
        <f>IF(U85=1,($T$15+$B$18/2),$T$15)</f>
        <v>16</v>
      </c>
      <c r="X85" s="209">
        <f>X84</f>
        <v>1647.8209487558813</v>
      </c>
      <c r="Y85" s="210">
        <v>0</v>
      </c>
      <c r="Z85" s="243">
        <f>IF(Y85=1,($X$15+$B$18/2),$X$15)</f>
        <v>24</v>
      </c>
      <c r="AB85" s="212">
        <f>AB84</f>
        <v>1647.8209487558813</v>
      </c>
      <c r="AC85" s="210">
        <v>0</v>
      </c>
      <c r="AD85" s="243">
        <f>IF(AC85=1,($AB$15+$B$18/2),$AB$15)</f>
        <v>32</v>
      </c>
      <c r="AF85" s="209">
        <f>AF84</f>
        <v>1647.8209487558813</v>
      </c>
      <c r="AG85" s="210">
        <v>0</v>
      </c>
      <c r="AH85" s="243">
        <f>IF(AG85=1,($AF$15+$B$18/2),$AF$15)</f>
        <v>40</v>
      </c>
      <c r="AJ85" s="209">
        <f>AJ84</f>
        <v>1647.8209487558813</v>
      </c>
      <c r="AK85" s="210">
        <v>0</v>
      </c>
      <c r="AL85" s="243">
        <f>IF(AK85=1,($AJ$15+$B$18/2),$AJ$15)</f>
        <v>48</v>
      </c>
      <c r="AN85" s="209">
        <f>AN84</f>
        <v>1647.8209487558813</v>
      </c>
      <c r="AO85" s="210">
        <v>0</v>
      </c>
      <c r="AP85" s="243">
        <f>IF(AO85=1,($AN$15+$B$18/2),$AN$15)</f>
        <v>56</v>
      </c>
      <c r="AR85" s="209">
        <f>AR84</f>
        <v>1647.8209487558813</v>
      </c>
      <c r="AS85" s="210">
        <v>0</v>
      </c>
      <c r="AT85" s="243">
        <f>IF(AS85=1,($AR$15+$B$18/2),$AR$15)</f>
        <v>64</v>
      </c>
      <c r="AV85" s="209">
        <f>AV84</f>
        <v>1647.8209487558813</v>
      </c>
      <c r="AW85" s="210">
        <v>0</v>
      </c>
      <c r="AX85" s="243">
        <f>IF(AW85=1,($AV$15+$B$18/2),$AV$15)</f>
        <v>72</v>
      </c>
    </row>
    <row r="86" spans="12:14" ht="12.75">
      <c r="L86" s="200"/>
      <c r="M86" s="200"/>
      <c r="N86" s="200"/>
    </row>
  </sheetData>
  <sheetProtection/>
  <mergeCells count="4">
    <mergeCell ref="A6:C6"/>
    <mergeCell ref="A7:C8"/>
    <mergeCell ref="I1:U1"/>
    <mergeCell ref="A19:C21"/>
  </mergeCells>
  <printOptions/>
  <pageMargins left="0.5" right="0.5" top="0.5" bottom="0.5" header="0" footer="0"/>
  <pageSetup horizontalDpi="600" verticalDpi="600" orientation="portrait" scale="80" r:id="rId2"/>
  <ignoredErrors>
    <ignoredError sqref="L22 L24 L26 L28 L20 P20 T20 X20 AB20 AF20 AJ20 AN20 AR20 P22 T22 X22 AB22 AF22 AJ22 AN22 AR22 P24 T24 X24 AB24 AF24 AJ24 AN24 AR24 P26"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Z1507"/>
  <sheetViews>
    <sheetView zoomScalePageLayoutView="0" workbookViewId="0" topLeftCell="A1">
      <selection activeCell="A3" sqref="A3"/>
    </sheetView>
  </sheetViews>
  <sheetFormatPr defaultColWidth="9.140625" defaultRowHeight="12.75"/>
  <cols>
    <col min="1" max="1" width="34.00390625" style="85" customWidth="1"/>
    <col min="2" max="2" width="22.57421875" style="85" customWidth="1"/>
    <col min="3" max="3" width="29.7109375" style="85" customWidth="1"/>
    <col min="4" max="5" width="22.7109375" style="85" customWidth="1"/>
    <col min="6" max="6" width="22.421875" style="85" bestFit="1" customWidth="1"/>
    <col min="7" max="7" width="20.421875" style="85" bestFit="1" customWidth="1"/>
    <col min="8" max="8" width="22.57421875" style="85" bestFit="1" customWidth="1"/>
    <col min="9" max="9" width="24.140625" style="85" bestFit="1" customWidth="1"/>
    <col min="10" max="10" width="15.421875" style="85" customWidth="1"/>
    <col min="11" max="11" width="10.8515625" style="85" customWidth="1"/>
    <col min="12" max="12" width="12.00390625" style="85" customWidth="1"/>
    <col min="13" max="13" width="13.00390625" style="85" customWidth="1"/>
    <col min="14" max="14" width="13.57421875" style="85" customWidth="1"/>
    <col min="15" max="15" width="11.140625" style="85" bestFit="1" customWidth="1"/>
    <col min="16" max="16" width="10.140625" style="85" bestFit="1" customWidth="1"/>
    <col min="17" max="17" width="11.140625" style="85" bestFit="1" customWidth="1"/>
    <col min="18" max="18" width="10.140625" style="85" bestFit="1" customWidth="1"/>
    <col min="19" max="20" width="18.28125" style="85" bestFit="1" customWidth="1"/>
    <col min="21" max="25" width="9.140625" style="85" customWidth="1"/>
    <col min="26" max="26" width="4.00390625" style="85" bestFit="1" customWidth="1"/>
    <col min="27" max="16384" width="9.140625" style="85" customWidth="1"/>
  </cols>
  <sheetData>
    <row r="1" spans="1:9" ht="13.5" thickBot="1">
      <c r="A1" s="1" t="s">
        <v>84</v>
      </c>
      <c r="B1" s="2"/>
      <c r="C1" s="2"/>
      <c r="D1" s="2"/>
      <c r="E1" s="2"/>
      <c r="F1" s="2"/>
      <c r="G1" s="261" t="s">
        <v>0</v>
      </c>
      <c r="H1" s="263"/>
      <c r="I1" s="3"/>
    </row>
    <row r="2" spans="1:9" ht="12.75">
      <c r="A2" s="1" t="s">
        <v>65</v>
      </c>
      <c r="B2" s="2"/>
      <c r="C2" s="2"/>
      <c r="D2" s="2"/>
      <c r="E2" s="2"/>
      <c r="F2" s="2"/>
      <c r="G2" s="104" t="s">
        <v>2</v>
      </c>
      <c r="H2" s="152" t="str">
        <f>Figure!J2</f>
        <v>Earth</v>
      </c>
      <c r="I2" s="3"/>
    </row>
    <row r="3" spans="1:9" ht="12.75">
      <c r="A3" s="2"/>
      <c r="B3" s="2"/>
      <c r="C3" s="2"/>
      <c r="D3" s="2"/>
      <c r="E3" s="2"/>
      <c r="F3" s="2"/>
      <c r="G3" s="102" t="s">
        <v>18</v>
      </c>
      <c r="H3" s="153">
        <f>Figure!J3</f>
        <v>6378.1366</v>
      </c>
      <c r="I3" s="3"/>
    </row>
    <row r="4" spans="1:9" ht="14.25">
      <c r="A4" s="23"/>
      <c r="B4" s="2"/>
      <c r="C4" s="2"/>
      <c r="D4" s="2"/>
      <c r="E4" s="2"/>
      <c r="F4" s="15"/>
      <c r="G4" s="102" t="s">
        <v>22</v>
      </c>
      <c r="H4" s="153">
        <f>Figure!J4</f>
        <v>398600.4356</v>
      </c>
      <c r="I4" s="3"/>
    </row>
    <row r="5" spans="1:12" ht="14.25">
      <c r="A5" s="23"/>
      <c r="B5" s="2"/>
      <c r="C5" s="2"/>
      <c r="D5" s="2"/>
      <c r="E5" s="2"/>
      <c r="F5" s="15"/>
      <c r="G5" s="102" t="s">
        <v>24</v>
      </c>
      <c r="H5" s="154">
        <f>Figure!J5</f>
        <v>2975536307736576</v>
      </c>
      <c r="I5" s="3"/>
      <c r="J5" s="27"/>
      <c r="K5" s="28"/>
      <c r="L5" s="28"/>
    </row>
    <row r="6" spans="1:12" ht="12.75">
      <c r="A6" s="29"/>
      <c r="B6" s="30"/>
      <c r="C6" s="30"/>
      <c r="D6" s="30"/>
      <c r="E6" s="30"/>
      <c r="F6" s="30"/>
      <c r="G6" s="102" t="s">
        <v>26</v>
      </c>
      <c r="H6" s="155">
        <f>Figure!J6</f>
        <v>0.25068445560702096</v>
      </c>
      <c r="I6" s="3"/>
      <c r="J6" s="30"/>
      <c r="K6" s="30"/>
      <c r="L6" s="30"/>
    </row>
    <row r="7" spans="1:15" ht="12.75">
      <c r="A7" s="86"/>
      <c r="B7" s="48"/>
      <c r="C7" s="49"/>
      <c r="D7" s="2"/>
      <c r="E7" s="2"/>
      <c r="F7" s="30"/>
      <c r="G7" s="102" t="s">
        <v>28</v>
      </c>
      <c r="H7" s="154">
        <f>Figure!J7</f>
        <v>0.0010826359</v>
      </c>
      <c r="I7" s="65"/>
      <c r="J7" s="66"/>
      <c r="K7" s="67"/>
      <c r="L7" s="3"/>
      <c r="M7" s="3"/>
      <c r="N7" s="3"/>
      <c r="O7" s="27"/>
    </row>
    <row r="8" spans="1:15" ht="14.25" customHeight="1">
      <c r="A8" s="32"/>
      <c r="B8" s="32"/>
      <c r="C8" s="50"/>
      <c r="D8" s="32"/>
      <c r="E8" s="32"/>
      <c r="F8" s="15"/>
      <c r="G8" s="102" t="s">
        <v>29</v>
      </c>
      <c r="H8" s="156">
        <f>Figure!J8</f>
        <v>-206474572244494.9</v>
      </c>
      <c r="I8" s="69"/>
      <c r="J8" s="68"/>
      <c r="K8" s="70"/>
      <c r="L8" s="3"/>
      <c r="M8" s="3"/>
      <c r="N8" s="3"/>
      <c r="O8" s="3"/>
    </row>
    <row r="9" spans="1:15" ht="13.5" thickBot="1">
      <c r="A9" s="32"/>
      <c r="B9" s="48"/>
      <c r="C9" s="50"/>
      <c r="D9" s="32"/>
      <c r="E9" s="32"/>
      <c r="F9" s="15"/>
      <c r="G9" s="103" t="s">
        <v>31</v>
      </c>
      <c r="H9" s="157">
        <f>Figure!J9</f>
        <v>1436.0683</v>
      </c>
      <c r="I9" s="65"/>
      <c r="J9" s="65"/>
      <c r="K9" s="70"/>
      <c r="L9" s="2"/>
      <c r="M9" s="2"/>
      <c r="N9" s="2"/>
      <c r="O9" s="2"/>
    </row>
    <row r="10" spans="1:26" ht="13.5" thickBot="1">
      <c r="A10" s="32"/>
      <c r="B10" s="32"/>
      <c r="C10" s="50"/>
      <c r="D10" s="32"/>
      <c r="E10" s="32"/>
      <c r="F10" s="15"/>
      <c r="T10" s="62"/>
      <c r="U10" s="62"/>
      <c r="V10" s="62"/>
      <c r="W10" s="2"/>
      <c r="X10" s="2"/>
      <c r="Y10" s="2"/>
      <c r="Z10" s="2"/>
    </row>
    <row r="11" spans="1:26" ht="13.5" thickBot="1">
      <c r="A11" s="39"/>
      <c r="B11" s="32"/>
      <c r="C11" s="32"/>
      <c r="D11" s="2"/>
      <c r="E11" s="2"/>
      <c r="F11" s="40"/>
      <c r="G11" s="27"/>
      <c r="H11" s="71"/>
      <c r="I11" s="72"/>
      <c r="J11" s="261" t="s">
        <v>1</v>
      </c>
      <c r="K11" s="262"/>
      <c r="L11" s="263"/>
      <c r="M11" s="158"/>
      <c r="N11" s="72"/>
      <c r="O11" s="72"/>
      <c r="P11" s="72"/>
      <c r="Q11" s="72"/>
      <c r="R11" s="72"/>
      <c r="S11" s="28"/>
      <c r="T11" s="72"/>
      <c r="U11" s="72"/>
      <c r="V11" s="28"/>
      <c r="W11" s="2"/>
      <c r="X11" s="2"/>
      <c r="Y11" s="2"/>
      <c r="Z11" s="2"/>
    </row>
    <row r="12" spans="1:25" ht="12.75">
      <c r="A12" s="142" t="s">
        <v>45</v>
      </c>
      <c r="B12" s="143" t="s">
        <v>55</v>
      </c>
      <c r="C12" s="144" t="s">
        <v>13</v>
      </c>
      <c r="D12" s="2"/>
      <c r="E12" s="2"/>
      <c r="J12" s="159" t="s">
        <v>14</v>
      </c>
      <c r="K12" s="160">
        <f>180/PI()</f>
        <v>57.29577951308232</v>
      </c>
      <c r="L12" s="161" t="s">
        <v>15</v>
      </c>
      <c r="V12" s="2"/>
      <c r="W12" s="2"/>
      <c r="X12" s="2"/>
      <c r="Y12" s="2"/>
    </row>
    <row r="13" spans="1:25" ht="12.75">
      <c r="A13" s="172" t="s">
        <v>66</v>
      </c>
      <c r="B13" s="116">
        <f>Figure!B11</f>
        <v>900</v>
      </c>
      <c r="C13" s="117" t="s">
        <v>19</v>
      </c>
      <c r="D13" s="15"/>
      <c r="E13" s="15"/>
      <c r="J13" s="162" t="s">
        <v>16</v>
      </c>
      <c r="K13" s="163">
        <f>60*24*365.25</f>
        <v>525960</v>
      </c>
      <c r="L13" s="164" t="s">
        <v>17</v>
      </c>
      <c r="V13" s="2"/>
      <c r="W13" s="2"/>
      <c r="X13" s="2"/>
      <c r="Y13" s="2"/>
    </row>
    <row r="14" spans="1:25" ht="15.75" thickBot="1">
      <c r="A14" s="172" t="s">
        <v>67</v>
      </c>
      <c r="B14" s="97">
        <f>Figure!B12</f>
        <v>47</v>
      </c>
      <c r="C14" s="98" t="s">
        <v>15</v>
      </c>
      <c r="D14" s="45"/>
      <c r="E14" s="45"/>
      <c r="J14" s="165" t="s">
        <v>20</v>
      </c>
      <c r="K14" s="166">
        <f>1.32712440041*10^11</f>
        <v>132712440041</v>
      </c>
      <c r="L14" s="167" t="s">
        <v>21</v>
      </c>
      <c r="V14" s="2"/>
      <c r="W14" s="2"/>
      <c r="X14" s="2"/>
      <c r="Y14" s="27"/>
    </row>
    <row r="15" spans="1:18" ht="12.75">
      <c r="A15" s="173" t="s">
        <v>68</v>
      </c>
      <c r="B15" s="97">
        <f>Figure!B13</f>
        <v>5</v>
      </c>
      <c r="C15" s="99" t="s">
        <v>15</v>
      </c>
      <c r="D15" s="31"/>
      <c r="E15" s="31"/>
      <c r="F15" s="27"/>
      <c r="G15" s="82"/>
      <c r="H15" s="80"/>
      <c r="I15" s="80"/>
      <c r="J15" s="72"/>
      <c r="K15" s="81"/>
      <c r="L15" s="80"/>
      <c r="M15" s="80"/>
      <c r="N15" s="80"/>
      <c r="O15" s="80"/>
      <c r="P15" s="80"/>
      <c r="Q15" s="80"/>
      <c r="R15" s="28"/>
    </row>
    <row r="16" spans="1:23" ht="14.25">
      <c r="A16" s="172" t="s">
        <v>69</v>
      </c>
      <c r="B16" s="118">
        <f>90-B14</f>
        <v>43</v>
      </c>
      <c r="C16" s="99" t="s">
        <v>46</v>
      </c>
      <c r="D16" s="45"/>
      <c r="E16" s="45"/>
      <c r="F16" s="27"/>
      <c r="G16" s="71"/>
      <c r="H16" s="72"/>
      <c r="I16" s="72"/>
      <c r="J16" s="72"/>
      <c r="K16" s="72"/>
      <c r="L16" s="72"/>
      <c r="M16" s="72"/>
      <c r="N16" s="72"/>
      <c r="O16" s="72"/>
      <c r="P16" s="72"/>
      <c r="Q16" s="72"/>
      <c r="R16" s="28"/>
      <c r="S16" s="2"/>
      <c r="T16" s="2"/>
      <c r="U16" s="2"/>
      <c r="V16" s="2"/>
      <c r="W16" s="2"/>
    </row>
    <row r="17" spans="1:23" ht="14.25">
      <c r="A17" s="172" t="s">
        <v>70</v>
      </c>
      <c r="B17" s="97">
        <f>Figure!B14</f>
        <v>120</v>
      </c>
      <c r="C17" s="99" t="s">
        <v>47</v>
      </c>
      <c r="D17" s="45"/>
      <c r="E17" s="45"/>
      <c r="F17" s="2"/>
      <c r="G17" s="2"/>
      <c r="H17" s="46"/>
      <c r="I17" s="2"/>
      <c r="J17" s="2"/>
      <c r="K17" s="2"/>
      <c r="L17" s="2"/>
      <c r="M17" s="2"/>
      <c r="N17" s="2"/>
      <c r="O17" s="47"/>
      <c r="P17" s="2"/>
      <c r="Q17" s="2"/>
      <c r="R17" s="2"/>
      <c r="S17" s="2"/>
      <c r="T17" s="2"/>
      <c r="U17" s="2"/>
      <c r="V17" s="2"/>
      <c r="W17" s="2"/>
    </row>
    <row r="18" spans="1:23" ht="14.25">
      <c r="A18" s="172" t="s">
        <v>71</v>
      </c>
      <c r="B18" s="97">
        <v>0</v>
      </c>
      <c r="C18" s="99" t="s">
        <v>46</v>
      </c>
      <c r="D18" s="45"/>
      <c r="E18" s="45"/>
      <c r="F18" s="2"/>
      <c r="G18" s="2"/>
      <c r="H18" s="46"/>
      <c r="I18" s="2"/>
      <c r="J18" s="2"/>
      <c r="K18" s="2"/>
      <c r="L18" s="2"/>
      <c r="M18" s="2"/>
      <c r="N18" s="2"/>
      <c r="O18" s="47"/>
      <c r="P18" s="2"/>
      <c r="Q18" s="2"/>
      <c r="R18" s="2"/>
      <c r="S18" s="2"/>
      <c r="T18" s="2"/>
      <c r="U18" s="2"/>
      <c r="V18" s="2"/>
      <c r="W18" s="2"/>
    </row>
    <row r="19" spans="1:23" ht="14.25">
      <c r="A19" s="172" t="s">
        <v>72</v>
      </c>
      <c r="B19" s="171">
        <f>Figure!B15</f>
        <v>120</v>
      </c>
      <c r="C19" s="99" t="s">
        <v>47</v>
      </c>
      <c r="D19" s="45"/>
      <c r="E19" s="45"/>
      <c r="F19" s="2"/>
      <c r="G19" s="2"/>
      <c r="H19" s="46"/>
      <c r="I19" s="2"/>
      <c r="J19" s="2"/>
      <c r="K19" s="2"/>
      <c r="L19" s="2"/>
      <c r="M19" s="2"/>
      <c r="N19" s="2"/>
      <c r="O19" s="47"/>
      <c r="P19" s="2"/>
      <c r="Q19" s="2"/>
      <c r="R19" s="2"/>
      <c r="S19" s="2"/>
      <c r="T19" s="2"/>
      <c r="U19" s="2"/>
      <c r="V19" s="2"/>
      <c r="W19" s="2"/>
    </row>
    <row r="20" spans="1:23" ht="14.25">
      <c r="A20" s="172" t="s">
        <v>74</v>
      </c>
      <c r="B20" s="118">
        <v>0</v>
      </c>
      <c r="C20" s="99" t="s">
        <v>46</v>
      </c>
      <c r="F20" s="2"/>
      <c r="G20" s="2"/>
      <c r="H20" s="46"/>
      <c r="I20" s="2"/>
      <c r="J20" s="2"/>
      <c r="K20" s="2"/>
      <c r="L20" s="2"/>
      <c r="M20" s="2"/>
      <c r="N20" s="2"/>
      <c r="O20" s="47"/>
      <c r="P20" s="2"/>
      <c r="Q20" s="2"/>
      <c r="R20" s="2"/>
      <c r="S20" s="2"/>
      <c r="T20" s="2"/>
      <c r="U20" s="2"/>
      <c r="V20" s="2"/>
      <c r="W20" s="2"/>
    </row>
    <row r="21" spans="1:23" ht="14.25">
      <c r="A21" s="172" t="s">
        <v>75</v>
      </c>
      <c r="B21" s="97">
        <f>B17+90</f>
        <v>210</v>
      </c>
      <c r="C21" s="99" t="s">
        <v>47</v>
      </c>
      <c r="F21" s="2"/>
      <c r="G21" s="2"/>
      <c r="H21" s="46"/>
      <c r="I21" s="2"/>
      <c r="J21" s="2"/>
      <c r="K21" s="2"/>
      <c r="L21" s="2"/>
      <c r="M21" s="2"/>
      <c r="N21" s="2"/>
      <c r="O21" s="47"/>
      <c r="P21" s="2"/>
      <c r="Q21" s="2"/>
      <c r="R21" s="2"/>
      <c r="S21" s="2"/>
      <c r="T21" s="2"/>
      <c r="U21" s="2"/>
      <c r="V21" s="2"/>
      <c r="W21" s="2"/>
    </row>
    <row r="22" spans="1:23" ht="12.75">
      <c r="A22" s="172" t="s">
        <v>76</v>
      </c>
      <c r="B22" s="175">
        <f>deg*60*SQRT(u/((B13+ra)^3))</f>
        <v>3.495525411513217</v>
      </c>
      <c r="C22" s="99" t="s">
        <v>27</v>
      </c>
      <c r="D22" s="45"/>
      <c r="E22" s="45"/>
      <c r="F22" s="2"/>
      <c r="G22" s="2"/>
      <c r="H22" s="46"/>
      <c r="I22" s="2"/>
      <c r="J22" s="2"/>
      <c r="K22" s="2"/>
      <c r="L22" s="2"/>
      <c r="M22" s="2"/>
      <c r="N22" s="2"/>
      <c r="O22" s="47"/>
      <c r="P22" s="2"/>
      <c r="Q22" s="2"/>
      <c r="R22" s="2"/>
      <c r="S22" s="2"/>
      <c r="T22" s="2"/>
      <c r="U22" s="2"/>
      <c r="V22" s="2"/>
      <c r="W22" s="2"/>
    </row>
    <row r="23" spans="1:23" ht="14.25">
      <c r="A23" s="173" t="s">
        <v>77</v>
      </c>
      <c r="B23" s="97">
        <f>-w-(H8/K13)*(ra+B13)^(-7/2)*COS(B14/deg)</f>
        <v>-0.2506763155681213</v>
      </c>
      <c r="C23" s="99" t="s">
        <v>27</v>
      </c>
      <c r="F23" s="2"/>
      <c r="G23" s="2"/>
      <c r="H23" s="46"/>
      <c r="I23" s="2"/>
      <c r="J23" s="2"/>
      <c r="K23" s="2"/>
      <c r="L23" s="2"/>
      <c r="M23" s="2"/>
      <c r="N23" s="2"/>
      <c r="O23" s="47"/>
      <c r="P23" s="2"/>
      <c r="Q23" s="2"/>
      <c r="R23" s="2"/>
      <c r="S23" s="2"/>
      <c r="T23" s="2"/>
      <c r="U23" s="2"/>
      <c r="V23" s="2"/>
      <c r="W23" s="2"/>
    </row>
    <row r="24" spans="1:23" ht="14.25">
      <c r="A24" s="172" t="s">
        <v>78</v>
      </c>
      <c r="B24" s="175">
        <f>deg*ATAN((B23+B22*COS(B14/deg))/(B22*SIN(B14/deg)))</f>
        <v>39.843622202785085</v>
      </c>
      <c r="C24" s="99" t="s">
        <v>46</v>
      </c>
      <c r="D24" s="45"/>
      <c r="E24" s="45"/>
      <c r="F24" s="45"/>
      <c r="G24" s="2"/>
      <c r="H24" s="46"/>
      <c r="I24" s="2"/>
      <c r="J24" s="2"/>
      <c r="K24" s="2"/>
      <c r="L24" s="2"/>
      <c r="M24" s="2"/>
      <c r="N24" s="2"/>
      <c r="O24" s="47"/>
      <c r="P24" s="2"/>
      <c r="Q24" s="2"/>
      <c r="R24" s="2"/>
      <c r="S24" s="2"/>
      <c r="T24" s="2"/>
      <c r="U24" s="2"/>
      <c r="V24" s="2"/>
      <c r="W24" s="2"/>
    </row>
    <row r="25" spans="1:23" ht="14.25">
      <c r="A25" s="173" t="s">
        <v>79</v>
      </c>
      <c r="B25" s="176">
        <f>B17</f>
        <v>120</v>
      </c>
      <c r="C25" s="99" t="s">
        <v>47</v>
      </c>
      <c r="D25" s="45"/>
      <c r="E25" s="45"/>
      <c r="F25" s="2"/>
      <c r="G25" s="2"/>
      <c r="H25" s="46"/>
      <c r="I25" s="2"/>
      <c r="J25" s="2"/>
      <c r="K25" s="2"/>
      <c r="L25" s="2"/>
      <c r="M25" s="2"/>
      <c r="N25" s="2"/>
      <c r="O25" s="47"/>
      <c r="P25" s="2"/>
      <c r="Q25" s="2"/>
      <c r="R25" s="2"/>
      <c r="S25" s="2"/>
      <c r="T25" s="2"/>
      <c r="U25" s="2"/>
      <c r="V25" s="2"/>
      <c r="W25" s="2"/>
    </row>
    <row r="26" spans="1:23" ht="14.25">
      <c r="A26" s="173" t="s">
        <v>80</v>
      </c>
      <c r="B26" s="175">
        <f>(B22*SIN(B14/deg))/COS(B24/deg)</f>
        <v>3.3296156870773688</v>
      </c>
      <c r="C26" s="99" t="s">
        <v>27</v>
      </c>
      <c r="D26" s="45"/>
      <c r="E26" s="45"/>
      <c r="F26" s="2"/>
      <c r="G26" s="2"/>
      <c r="H26" s="46"/>
      <c r="I26" s="2"/>
      <c r="J26" s="2"/>
      <c r="K26" s="2"/>
      <c r="L26" s="2"/>
      <c r="M26" s="2"/>
      <c r="N26" s="2"/>
      <c r="O26" s="47"/>
      <c r="P26" s="2"/>
      <c r="Q26" s="2"/>
      <c r="R26" s="2"/>
      <c r="S26" s="2"/>
      <c r="T26" s="2"/>
      <c r="U26" s="2"/>
      <c r="V26" s="2"/>
      <c r="W26" s="2"/>
    </row>
    <row r="27" spans="1:23" ht="14.25">
      <c r="A27" s="173" t="s">
        <v>81</v>
      </c>
      <c r="B27" s="175">
        <f>deg*ACOS(SIN(B20/deg)*SIN(B24/deg)+COS(B20/deg)*COS(B24/deg)*COS((B21-B25)/deg))</f>
        <v>90</v>
      </c>
      <c r="C27" s="99" t="s">
        <v>15</v>
      </c>
      <c r="F27" s="2"/>
      <c r="G27" s="2"/>
      <c r="H27" s="46"/>
      <c r="I27" s="2"/>
      <c r="J27" s="2"/>
      <c r="K27" s="2"/>
      <c r="L27" s="2"/>
      <c r="M27" s="2"/>
      <c r="N27" s="2"/>
      <c r="O27" s="47"/>
      <c r="P27" s="2"/>
      <c r="Q27" s="2"/>
      <c r="R27" s="2"/>
      <c r="S27" s="2"/>
      <c r="T27" s="2"/>
      <c r="U27" s="2"/>
      <c r="V27" s="2"/>
      <c r="W27" s="2"/>
    </row>
    <row r="28" spans="1:23" ht="12.75">
      <c r="A28" s="173" t="s">
        <v>82</v>
      </c>
      <c r="B28" s="175">
        <f>deg*ACOS(SIN(B24/deg)*SIN(B18/deg)+COS(B24/deg)*COS(B18/deg)*COS((B25-B19)/deg))</f>
        <v>39.84362220278508</v>
      </c>
      <c r="C28" s="99" t="s">
        <v>15</v>
      </c>
      <c r="D28" s="45"/>
      <c r="E28" s="45"/>
      <c r="F28" s="2"/>
      <c r="G28" s="2"/>
      <c r="H28" s="46"/>
      <c r="I28" s="2"/>
      <c r="J28" s="2"/>
      <c r="K28" s="2"/>
      <c r="L28" s="2"/>
      <c r="M28" s="2"/>
      <c r="N28" s="2"/>
      <c r="O28" s="47"/>
      <c r="P28" s="2"/>
      <c r="Q28" s="2"/>
      <c r="R28" s="2"/>
      <c r="S28" s="2"/>
      <c r="T28" s="2"/>
      <c r="U28" s="2"/>
      <c r="V28" s="2"/>
      <c r="W28" s="2"/>
    </row>
    <row r="29" spans="1:23" ht="13.5" thickBot="1">
      <c r="A29" s="174" t="s">
        <v>83</v>
      </c>
      <c r="B29" s="177" t="e">
        <f>2*deg*ACOS((COS(E36/deg)-COS(B27/deg)*COS(B28/deg))/(SIN(B27/deg)*SIN(B28/deg)))</f>
        <v>#NUM!</v>
      </c>
      <c r="C29" s="100" t="s">
        <v>15</v>
      </c>
      <c r="D29" s="45"/>
      <c r="E29" s="45"/>
      <c r="F29" s="2"/>
      <c r="G29" s="2"/>
      <c r="H29" s="46"/>
      <c r="I29" s="2"/>
      <c r="J29" s="2"/>
      <c r="K29" s="2"/>
      <c r="L29" s="2"/>
      <c r="M29" s="2"/>
      <c r="N29" s="2"/>
      <c r="O29" s="47"/>
      <c r="P29" s="2"/>
      <c r="Q29" s="2"/>
      <c r="R29" s="2"/>
      <c r="S29" s="2"/>
      <c r="T29" s="2"/>
      <c r="U29" s="2"/>
      <c r="V29" s="2"/>
      <c r="W29" s="2"/>
    </row>
    <row r="30" ht="13.5" thickBot="1"/>
    <row r="31" spans="1:23" s="57" customFormat="1" ht="51">
      <c r="A31" s="50"/>
      <c r="B31" s="55" t="s">
        <v>32</v>
      </c>
      <c r="C31" s="55" t="s">
        <v>44</v>
      </c>
      <c r="D31" s="55" t="s">
        <v>35</v>
      </c>
      <c r="E31" s="55" t="s">
        <v>36</v>
      </c>
      <c r="F31" s="55" t="s">
        <v>33</v>
      </c>
      <c r="G31" s="55" t="s">
        <v>34</v>
      </c>
      <c r="H31" s="55" t="s">
        <v>37</v>
      </c>
      <c r="I31" s="55" t="s">
        <v>38</v>
      </c>
      <c r="J31" s="55" t="s">
        <v>39</v>
      </c>
      <c r="K31" s="55" t="s">
        <v>40</v>
      </c>
      <c r="L31" s="55" t="s">
        <v>41</v>
      </c>
      <c r="M31" s="55" t="s">
        <v>42</v>
      </c>
      <c r="N31" s="55" t="s">
        <v>43</v>
      </c>
      <c r="O31" s="56"/>
      <c r="P31" s="56"/>
      <c r="Q31" s="56"/>
      <c r="R31" s="56"/>
      <c r="S31" s="56"/>
      <c r="T31" s="56"/>
      <c r="U31" s="56"/>
      <c r="V31" s="56"/>
      <c r="W31" s="56"/>
    </row>
    <row r="32" spans="1:23" s="54" customFormat="1" ht="13.5" thickBot="1">
      <c r="A32" s="49"/>
      <c r="B32" s="64" t="s">
        <v>50</v>
      </c>
      <c r="C32" s="64" t="s">
        <v>51</v>
      </c>
      <c r="D32" s="64" t="s">
        <v>50</v>
      </c>
      <c r="E32" s="64" t="s">
        <v>50</v>
      </c>
      <c r="F32" s="64" t="s">
        <v>52</v>
      </c>
      <c r="G32" s="64" t="s">
        <v>50</v>
      </c>
      <c r="H32" s="64" t="s">
        <v>50</v>
      </c>
      <c r="I32" s="64" t="s">
        <v>50</v>
      </c>
      <c r="J32" s="64" t="s">
        <v>52</v>
      </c>
      <c r="K32" s="64" t="s">
        <v>53</v>
      </c>
      <c r="L32" s="64" t="s">
        <v>50</v>
      </c>
      <c r="M32" s="64" t="s">
        <v>50</v>
      </c>
      <c r="N32" s="64" t="s">
        <v>51</v>
      </c>
      <c r="O32" s="46"/>
      <c r="P32" s="46"/>
      <c r="Q32" s="46"/>
      <c r="R32" s="46"/>
      <c r="S32" s="46"/>
      <c r="T32" s="46"/>
      <c r="U32" s="46"/>
      <c r="V32" s="46"/>
      <c r="W32" s="46"/>
    </row>
    <row r="33" spans="1:23" ht="13.5" thickBot="1">
      <c r="A33" s="264" t="s">
        <v>49</v>
      </c>
      <c r="B33" s="265"/>
      <c r="C33" s="265"/>
      <c r="D33" s="265"/>
      <c r="E33" s="265"/>
      <c r="F33" s="265"/>
      <c r="G33" s="265"/>
      <c r="H33" s="265"/>
      <c r="I33" s="265"/>
      <c r="J33" s="265"/>
      <c r="K33" s="265"/>
      <c r="L33" s="265"/>
      <c r="M33" s="265"/>
      <c r="N33" s="266"/>
      <c r="O33" s="2"/>
      <c r="P33" s="2"/>
      <c r="Q33" s="2"/>
      <c r="R33" s="2"/>
      <c r="S33" s="2"/>
      <c r="T33" s="2"/>
      <c r="U33" s="2"/>
      <c r="V33" s="2"/>
      <c r="W33" s="2"/>
    </row>
    <row r="34" spans="1:23" ht="13.5" thickBot="1">
      <c r="A34" s="145" t="s">
        <v>55</v>
      </c>
      <c r="B34" s="58">
        <f>deg*ASIN(ra/(ra+B13))</f>
        <v>61.204197929960436</v>
      </c>
      <c r="C34" s="59">
        <f>(2*PI()*SQRT(((B13+ra)^3)/u))/60</f>
        <v>102.98880929724255</v>
      </c>
      <c r="D34" s="60">
        <f>deg*ASIN(SIN(B34/deg)*COS(B15/deg))</f>
        <v>60.81000203701792</v>
      </c>
      <c r="E34" s="60">
        <f>90-B15-D34</f>
        <v>24.189997962982083</v>
      </c>
      <c r="F34" s="79">
        <f>ra*(SIN(E34/deg)/SIN(D34/deg))</f>
        <v>2993.708877520703</v>
      </c>
      <c r="G34" s="60">
        <f>deg*ASIN(SIN(B16/deg)*SIN(B18/deg)+COS(B16/deg)*COS(B18/deg)*COS((B17-B19)/deg))</f>
        <v>47.00000000000001</v>
      </c>
      <c r="H34" s="60">
        <f>deg*ATAN((SIN(B34/deg)*SIN(G34/deg))/(1-SIN(B34/deg)*COS(G34/deg)))</f>
        <v>57.881374259180134</v>
      </c>
      <c r="I34" s="60">
        <f>90-H34-G34</f>
        <v>-14.881374259180141</v>
      </c>
      <c r="J34" s="79">
        <f>ra*(SIN(G34/deg)/SIN(H34/deg))</f>
        <v>5507.6198208740525</v>
      </c>
      <c r="K34" s="60">
        <f>(360*(ra+B13))/(C34*J34)</f>
        <v>4.619220690822295</v>
      </c>
      <c r="L34" s="60" t="e">
        <f>deg*2*ACOS(TAN(G34/deg)/TAN(E34/deg))</f>
        <v>#NUM!</v>
      </c>
      <c r="M34" s="60" t="e">
        <f>deg*ACOS((SIN(G34/deg)*SIN(B18/deg)-SIN(B16/deg))/(COS(G34/deg)*COS(B18/deg)))</f>
        <v>#NUM!</v>
      </c>
      <c r="N34" s="61" t="e">
        <f>(C34/180)*deg*ACOS(COS(E34/deg)/COS(G34/deg))</f>
        <v>#NUM!</v>
      </c>
      <c r="O34" s="2"/>
      <c r="P34" s="2"/>
      <c r="Q34" s="2"/>
      <c r="R34" s="2"/>
      <c r="S34" s="2"/>
      <c r="T34" s="2"/>
      <c r="U34" s="2"/>
      <c r="V34" s="2"/>
      <c r="W34" s="2"/>
    </row>
    <row r="35" spans="1:23" ht="13.5" thickBot="1">
      <c r="A35" s="267" t="s">
        <v>48</v>
      </c>
      <c r="B35" s="268"/>
      <c r="C35" s="268"/>
      <c r="D35" s="268"/>
      <c r="E35" s="268"/>
      <c r="F35" s="268"/>
      <c r="G35" s="268"/>
      <c r="H35" s="268"/>
      <c r="I35" s="268"/>
      <c r="J35" s="268"/>
      <c r="K35" s="268"/>
      <c r="L35" s="268"/>
      <c r="M35" s="268"/>
      <c r="N35" s="269"/>
      <c r="O35" s="2"/>
      <c r="P35" s="2"/>
      <c r="Q35" s="2"/>
      <c r="R35" s="2"/>
      <c r="S35" s="2"/>
      <c r="T35" s="2"/>
      <c r="U35" s="2"/>
      <c r="V35" s="2"/>
      <c r="W35" s="2"/>
    </row>
    <row r="36" spans="1:23" ht="13.5" thickBot="1">
      <c r="A36" s="146" t="s">
        <v>55</v>
      </c>
      <c r="B36" s="119">
        <f>deg*ASIN(ra/(ra+B13))</f>
        <v>61.204197929960436</v>
      </c>
      <c r="C36" s="120">
        <f>(2*PI()*SQRT(((B13+ra)^3)/u))/60</f>
        <v>102.98880929724255</v>
      </c>
      <c r="D36" s="121">
        <f>deg*ASIN(SIN(B36/deg)*COS(B15/deg))</f>
        <v>60.81000203701792</v>
      </c>
      <c r="E36" s="121">
        <f>90-B15-D36</f>
        <v>24.189997962982083</v>
      </c>
      <c r="F36" s="122">
        <f>ra*(SIN(E36/deg)/SIN(D36/deg))</f>
        <v>2993.708877520703</v>
      </c>
      <c r="G36" s="123">
        <f>ABS(B27-B28)</f>
        <v>50.15637779721492</v>
      </c>
      <c r="H36" s="121">
        <f>deg*ATAN((SIN(B36/deg)*SIN(G36/deg))/(1-SIN(B36/deg)*COS(G36/deg)))</f>
        <v>56.905618931633185</v>
      </c>
      <c r="I36" s="121">
        <f>90-H36-G36</f>
        <v>-17.061996728848108</v>
      </c>
      <c r="J36" s="122">
        <f>ra*(SIN(G36/deg)/SIN(H36/deg))</f>
        <v>5845.392183108833</v>
      </c>
      <c r="K36" s="124">
        <f>(360*(ra+B13))/(C36*J36)</f>
        <v>4.35230188784935</v>
      </c>
      <c r="L36" s="125" t="e">
        <f>deg*2*ACOS((COS(B28/deg)*COS(E36/deg)-COS(B27/deg))/(SIN(B28/deg)*SIN(E36/deg)))</f>
        <v>#NUM!</v>
      </c>
      <c r="M36" s="126">
        <f>deg*ACOS((SIN(G36/deg)*SIN(B18/deg)-SIN(B24/deg))/(COS(G36/deg)*COS(B18/deg)))</f>
        <v>180</v>
      </c>
      <c r="N36" s="127" t="e">
        <f>B29/B26</f>
        <v>#NUM!</v>
      </c>
      <c r="O36" s="2"/>
      <c r="P36" s="2"/>
      <c r="Q36" s="2"/>
      <c r="R36" s="2"/>
      <c r="S36" s="2"/>
      <c r="T36" s="2"/>
      <c r="U36" s="2"/>
      <c r="V36" s="2"/>
      <c r="W36" s="2"/>
    </row>
    <row r="37" spans="1:24" ht="12.75">
      <c r="A37" s="135"/>
      <c r="B37" s="128"/>
      <c r="C37" s="52"/>
      <c r="D37" s="51"/>
      <c r="E37" s="51"/>
      <c r="F37" s="51"/>
      <c r="G37" s="129"/>
      <c r="H37" s="87"/>
      <c r="I37" s="51"/>
      <c r="J37" s="51"/>
      <c r="K37" s="129"/>
      <c r="L37" s="51"/>
      <c r="M37" s="130"/>
      <c r="N37" s="51"/>
      <c r="O37" s="39"/>
      <c r="P37" s="2"/>
      <c r="Q37" s="2"/>
      <c r="R37" s="2"/>
      <c r="S37" s="2"/>
      <c r="T37" s="2"/>
      <c r="U37" s="2"/>
      <c r="V37" s="2"/>
      <c r="W37" s="2"/>
      <c r="X37" s="2"/>
    </row>
    <row r="38" spans="1:24" ht="13.5" thickBot="1">
      <c r="A38" s="96"/>
      <c r="B38" s="51"/>
      <c r="C38" s="52"/>
      <c r="D38" s="51"/>
      <c r="E38" s="51"/>
      <c r="F38" s="51"/>
      <c r="G38" s="129"/>
      <c r="H38" s="87"/>
      <c r="I38" s="51"/>
      <c r="J38" s="51"/>
      <c r="K38" s="129"/>
      <c r="L38" s="51"/>
      <c r="M38" s="130"/>
      <c r="N38" s="51"/>
      <c r="O38" s="39"/>
      <c r="P38" s="2"/>
      <c r="Q38" s="2"/>
      <c r="R38" s="2"/>
      <c r="S38" s="2"/>
      <c r="T38" s="2"/>
      <c r="U38" s="2"/>
      <c r="V38" s="2"/>
      <c r="W38" s="2"/>
      <c r="X38" s="2"/>
    </row>
    <row r="39" spans="1:24" ht="12.75">
      <c r="A39" s="131" t="s">
        <v>58</v>
      </c>
      <c r="B39" s="133">
        <f>(2*PI()*SQRT(((B13+ra)^3)/u))/60</f>
        <v>102.98880929724255</v>
      </c>
      <c r="C39" s="52"/>
      <c r="D39" s="51"/>
      <c r="E39" s="51"/>
      <c r="F39" s="51"/>
      <c r="G39" s="52"/>
      <c r="H39" s="53"/>
      <c r="I39" s="51"/>
      <c r="J39" s="51"/>
      <c r="K39" s="52"/>
      <c r="L39" s="51"/>
      <c r="M39" s="53"/>
      <c r="N39" s="53"/>
      <c r="O39" s="53"/>
      <c r="P39" s="53"/>
      <c r="Q39" s="2"/>
      <c r="R39" s="2"/>
      <c r="S39" s="2"/>
      <c r="T39" s="2"/>
      <c r="U39" s="2"/>
      <c r="V39" s="2"/>
      <c r="W39" s="2"/>
      <c r="X39" s="2"/>
    </row>
    <row r="40" spans="1:24" ht="12.75">
      <c r="A40" s="132" t="s">
        <v>59</v>
      </c>
      <c r="B40" s="134">
        <f>deg*ASIN(ra/(ra+B13))</f>
        <v>61.204197929960436</v>
      </c>
      <c r="C40" s="52"/>
      <c r="D40" s="51"/>
      <c r="E40" s="51"/>
      <c r="F40" s="51"/>
      <c r="G40" s="52"/>
      <c r="H40" s="53"/>
      <c r="I40" s="51"/>
      <c r="J40" s="51"/>
      <c r="K40" s="52"/>
      <c r="L40" s="51"/>
      <c r="M40" s="53"/>
      <c r="N40" s="53"/>
      <c r="O40" s="53"/>
      <c r="P40" s="53"/>
      <c r="Q40" s="2"/>
      <c r="R40" s="2"/>
      <c r="S40" s="2"/>
      <c r="T40" s="2"/>
      <c r="U40" s="2"/>
      <c r="V40" s="2"/>
      <c r="W40" s="2"/>
      <c r="X40" s="2"/>
    </row>
    <row r="41" spans="1:24" ht="12.75">
      <c r="A41" s="132" t="s">
        <v>60</v>
      </c>
      <c r="B41" s="134">
        <f>deg*ASIN(SIN(B34/deg)*COS(B15/deg))</f>
        <v>60.81000203701792</v>
      </c>
      <c r="C41" s="52"/>
      <c r="D41" s="51"/>
      <c r="E41" s="51"/>
      <c r="F41" s="51"/>
      <c r="G41" s="52"/>
      <c r="H41" s="53"/>
      <c r="I41" s="51"/>
      <c r="J41" s="51"/>
      <c r="K41" s="52"/>
      <c r="L41" s="51"/>
      <c r="M41" s="53"/>
      <c r="N41" s="53"/>
      <c r="O41" s="53"/>
      <c r="P41" s="53"/>
      <c r="Q41" s="2"/>
      <c r="R41" s="2"/>
      <c r="S41" s="2"/>
      <c r="T41" s="2"/>
      <c r="U41" s="2"/>
      <c r="V41" s="2"/>
      <c r="W41" s="2"/>
      <c r="X41" s="2"/>
    </row>
    <row r="42" spans="1:24" ht="13.5" thickBot="1">
      <c r="A42" s="132" t="s">
        <v>61</v>
      </c>
      <c r="B42" s="134">
        <f>90-B15-B41</f>
        <v>24.189997962982083</v>
      </c>
      <c r="C42" s="52"/>
      <c r="D42" s="51"/>
      <c r="E42" s="51"/>
      <c r="F42" s="51"/>
      <c r="G42" s="52"/>
      <c r="H42" s="53"/>
      <c r="I42" s="51"/>
      <c r="J42" s="51"/>
      <c r="K42" s="52"/>
      <c r="L42" s="51"/>
      <c r="M42" s="53"/>
      <c r="N42" s="53"/>
      <c r="O42" s="53"/>
      <c r="P42" s="53"/>
      <c r="Q42" s="2"/>
      <c r="R42" s="2"/>
      <c r="S42" s="2"/>
      <c r="T42" s="2"/>
      <c r="U42" s="2"/>
      <c r="V42" s="2"/>
      <c r="W42" s="2"/>
      <c r="X42" s="2"/>
    </row>
    <row r="43" spans="1:24" ht="25.5">
      <c r="A43" s="223"/>
      <c r="B43" s="224"/>
      <c r="C43" s="222" t="s">
        <v>86</v>
      </c>
      <c r="D43" s="226">
        <f>Figure!B17</f>
        <v>0</v>
      </c>
      <c r="E43" s="224"/>
      <c r="F43" s="225"/>
      <c r="G43" s="52"/>
      <c r="H43" s="53"/>
      <c r="I43" s="51"/>
      <c r="J43" s="51"/>
      <c r="K43" s="52"/>
      <c r="L43" s="51"/>
      <c r="M43" s="53"/>
      <c r="N43" s="53"/>
      <c r="O43" s="53"/>
      <c r="P43" s="53"/>
      <c r="Q43" s="2"/>
      <c r="R43" s="2"/>
      <c r="S43" s="2"/>
      <c r="T43" s="2"/>
      <c r="U43" s="2"/>
      <c r="V43" s="2"/>
      <c r="W43" s="2"/>
      <c r="X43" s="2"/>
    </row>
    <row r="44" spans="1:24" s="91" customFormat="1" ht="25.5">
      <c r="A44" s="147" t="s">
        <v>54</v>
      </c>
      <c r="B44" s="148" t="s">
        <v>62</v>
      </c>
      <c r="C44" s="149" t="s">
        <v>63</v>
      </c>
      <c r="D44" s="150" t="s">
        <v>82</v>
      </c>
      <c r="E44" s="168" t="s">
        <v>83</v>
      </c>
      <c r="F44" s="170" t="s">
        <v>64</v>
      </c>
      <c r="G44" s="89"/>
      <c r="H44" s="95"/>
      <c r="I44" s="96"/>
      <c r="J44" s="49"/>
      <c r="N44" s="90"/>
      <c r="O44" s="90"/>
      <c r="P44" s="90"/>
      <c r="Q44" s="1"/>
      <c r="R44" s="1"/>
      <c r="S44" s="1"/>
      <c r="T44" s="1"/>
      <c r="U44" s="1"/>
      <c r="V44" s="1"/>
      <c r="W44" s="1"/>
      <c r="X44" s="1"/>
    </row>
    <row r="45" spans="1:24" ht="12.75">
      <c r="A45" s="191">
        <v>1</v>
      </c>
      <c r="B45" s="136">
        <v>0</v>
      </c>
      <c r="C45" s="137">
        <f aca="true" t="shared" si="0" ref="C45:C61">$B$17+$B$23*B45</f>
        <v>120</v>
      </c>
      <c r="D45" s="137">
        <f aca="true" t="shared" si="1" ref="D45:D61">deg*ACOS(SIN($B$24/deg)*SIN(($B$18+$D$43)/deg)+COS($B$24/deg)*COS(($B$18+$D$43)/deg)*COS((C45-$B$19)/deg))</f>
        <v>39.84362220278508</v>
      </c>
      <c r="E45" s="169">
        <f aca="true" t="shared" si="2" ref="E45:E61">IF(OR(((COS($B$42/deg)-COS($B$27/deg)*COS(D45/deg))/(SIN($B$27/deg)*SIN(D45/deg)))&gt;1,((COS($B$42/deg)-COS($B$27/deg)*COS(D45/deg))/(SIN($B$27/deg)*SIN(D45/deg)))&lt;-1),0,2*deg*ACOS((COS($B$42/deg)-COS($B$27/deg)*COS(D45/deg))/(SIN($B$27/deg)*SIN(D45/deg))))</f>
        <v>0</v>
      </c>
      <c r="F45" s="192">
        <f>E45/$B$26</f>
        <v>0</v>
      </c>
      <c r="G45" s="83"/>
      <c r="H45" s="93"/>
      <c r="I45" s="92"/>
      <c r="J45" s="94"/>
      <c r="N45" s="53"/>
      <c r="O45" s="53"/>
      <c r="P45" s="53"/>
      <c r="Q45" s="2"/>
      <c r="R45" s="2"/>
      <c r="S45" s="2"/>
      <c r="T45" s="2"/>
      <c r="U45" s="2"/>
      <c r="V45" s="2"/>
      <c r="W45" s="2"/>
      <c r="X45" s="2"/>
    </row>
    <row r="46" spans="1:24" ht="12.75">
      <c r="A46" s="191">
        <v>2</v>
      </c>
      <c r="B46" s="138">
        <f aca="true" t="shared" si="3" ref="B46:B61">B45+$B$39</f>
        <v>102.98880929724255</v>
      </c>
      <c r="C46" s="137">
        <f t="shared" si="0"/>
        <v>94.18314474061935</v>
      </c>
      <c r="D46" s="137">
        <f t="shared" si="1"/>
        <v>46.2777769284572</v>
      </c>
      <c r="E46" s="169">
        <f t="shared" si="2"/>
        <v>0</v>
      </c>
      <c r="F46" s="192">
        <f aca="true" t="shared" si="4" ref="F46:F61">E46/$B$26</f>
        <v>0</v>
      </c>
      <c r="G46" s="83"/>
      <c r="H46" s="93"/>
      <c r="I46" s="92"/>
      <c r="J46" s="94"/>
      <c r="N46" s="53"/>
      <c r="O46" s="53"/>
      <c r="P46" s="53"/>
      <c r="Q46" s="2"/>
      <c r="R46" s="2"/>
      <c r="S46" s="2"/>
      <c r="T46" s="2"/>
      <c r="U46" s="2"/>
      <c r="V46" s="2"/>
      <c r="W46" s="2"/>
      <c r="X46" s="2"/>
    </row>
    <row r="47" spans="1:24" ht="12.75">
      <c r="A47" s="191">
        <v>3</v>
      </c>
      <c r="B47" s="138">
        <f t="shared" si="3"/>
        <v>205.9776185944851</v>
      </c>
      <c r="C47" s="137">
        <f t="shared" si="0"/>
        <v>68.36628948123871</v>
      </c>
      <c r="D47" s="137">
        <f t="shared" si="1"/>
        <v>61.53898790612734</v>
      </c>
      <c r="E47" s="169">
        <f t="shared" si="2"/>
        <v>0</v>
      </c>
      <c r="F47" s="192">
        <f t="shared" si="4"/>
        <v>0</v>
      </c>
      <c r="G47" s="105"/>
      <c r="H47" s="93"/>
      <c r="I47" s="92"/>
      <c r="J47" s="94"/>
      <c r="N47" s="53"/>
      <c r="O47" s="53"/>
      <c r="P47" s="53"/>
      <c r="Q47" s="2"/>
      <c r="R47" s="2"/>
      <c r="S47" s="2"/>
      <c r="T47" s="2"/>
      <c r="U47" s="2"/>
      <c r="V47" s="2"/>
      <c r="W47" s="2"/>
      <c r="X47" s="2"/>
    </row>
    <row r="48" spans="1:24" ht="12.75">
      <c r="A48" s="180">
        <v>4</v>
      </c>
      <c r="B48" s="181">
        <f t="shared" si="3"/>
        <v>308.9664278917277</v>
      </c>
      <c r="C48" s="182">
        <f t="shared" si="0"/>
        <v>42.54943422185808</v>
      </c>
      <c r="D48" s="248">
        <f t="shared" si="1"/>
        <v>80.39654856952241</v>
      </c>
      <c r="E48" s="183">
        <f t="shared" si="2"/>
        <v>44.615972177399556</v>
      </c>
      <c r="F48" s="184">
        <f t="shared" si="4"/>
        <v>13.399736297062573</v>
      </c>
      <c r="G48" s="105"/>
      <c r="H48" s="93"/>
      <c r="I48" s="92"/>
      <c r="J48" s="94"/>
      <c r="N48" s="2"/>
      <c r="O48" s="2"/>
      <c r="P48" s="2"/>
      <c r="Q48" s="2"/>
      <c r="R48" s="2"/>
      <c r="S48" s="2"/>
      <c r="T48" s="2"/>
      <c r="U48" s="2"/>
      <c r="V48" s="2"/>
      <c r="W48" s="2"/>
      <c r="X48" s="2"/>
    </row>
    <row r="49" spans="1:10" ht="12.75">
      <c r="A49" s="180">
        <v>5</v>
      </c>
      <c r="B49" s="181">
        <f t="shared" si="3"/>
        <v>411.9552371889702</v>
      </c>
      <c r="C49" s="182">
        <f t="shared" si="0"/>
        <v>16.732578962477433</v>
      </c>
      <c r="D49" s="248">
        <f t="shared" si="1"/>
        <v>100.14886853332737</v>
      </c>
      <c r="E49" s="183">
        <f t="shared" si="2"/>
        <v>44.1504055622409</v>
      </c>
      <c r="F49" s="184">
        <f t="shared" si="4"/>
        <v>13.259910365509699</v>
      </c>
      <c r="G49" s="105"/>
      <c r="H49" s="93"/>
      <c r="I49" s="92"/>
      <c r="J49" s="94"/>
    </row>
    <row r="50" spans="1:10" ht="12.75">
      <c r="A50" s="180">
        <v>6</v>
      </c>
      <c r="B50" s="181">
        <f t="shared" si="3"/>
        <v>514.9440464862128</v>
      </c>
      <c r="C50" s="182">
        <f t="shared" si="0"/>
        <v>-9.084276296903198</v>
      </c>
      <c r="D50" s="248">
        <f t="shared" si="1"/>
        <v>118.9513495114151</v>
      </c>
      <c r="E50" s="183">
        <f t="shared" si="2"/>
        <v>0</v>
      </c>
      <c r="F50" s="184">
        <f t="shared" si="4"/>
        <v>0</v>
      </c>
      <c r="G50" s="105"/>
      <c r="H50" s="93"/>
      <c r="I50" s="92"/>
      <c r="J50" s="94"/>
    </row>
    <row r="51" spans="1:10" ht="12.75">
      <c r="A51" s="191">
        <v>7</v>
      </c>
      <c r="B51" s="138">
        <f t="shared" si="3"/>
        <v>617.9328557834554</v>
      </c>
      <c r="C51" s="137">
        <f t="shared" si="0"/>
        <v>-34.90113155628384</v>
      </c>
      <c r="D51" s="137">
        <f t="shared" si="1"/>
        <v>134.05100786169163</v>
      </c>
      <c r="E51" s="169">
        <f t="shared" si="2"/>
        <v>0</v>
      </c>
      <c r="F51" s="192">
        <f t="shared" si="4"/>
        <v>0</v>
      </c>
      <c r="G51" s="105"/>
      <c r="H51" s="93"/>
      <c r="I51" s="92"/>
      <c r="J51" s="94"/>
    </row>
    <row r="52" spans="1:10" ht="12.75">
      <c r="A52" s="191">
        <v>8</v>
      </c>
      <c r="B52" s="138">
        <f t="shared" si="3"/>
        <v>720.921665080698</v>
      </c>
      <c r="C52" s="137">
        <f t="shared" si="0"/>
        <v>-60.71798681566449</v>
      </c>
      <c r="D52" s="137">
        <f t="shared" si="1"/>
        <v>140.15098709919553</v>
      </c>
      <c r="E52" s="169">
        <f t="shared" si="2"/>
        <v>0</v>
      </c>
      <c r="F52" s="192">
        <f t="shared" si="4"/>
        <v>0</v>
      </c>
      <c r="G52" s="105"/>
      <c r="H52" s="93"/>
      <c r="I52" s="92"/>
      <c r="J52" s="94"/>
    </row>
    <row r="53" spans="1:10" ht="12.75">
      <c r="A53" s="191">
        <v>9</v>
      </c>
      <c r="B53" s="138">
        <f t="shared" si="3"/>
        <v>823.9104743779405</v>
      </c>
      <c r="C53" s="137">
        <f t="shared" si="0"/>
        <v>-86.53484207504516</v>
      </c>
      <c r="D53" s="137">
        <f t="shared" si="1"/>
        <v>133.38667548450925</v>
      </c>
      <c r="E53" s="169">
        <f t="shared" si="2"/>
        <v>0</v>
      </c>
      <c r="F53" s="192">
        <f t="shared" si="4"/>
        <v>0</v>
      </c>
      <c r="G53" s="63"/>
      <c r="H53" s="93"/>
      <c r="I53" s="92"/>
      <c r="J53" s="94"/>
    </row>
    <row r="54" spans="1:10" ht="12.75">
      <c r="A54" s="180">
        <v>10</v>
      </c>
      <c r="B54" s="181">
        <f t="shared" si="3"/>
        <v>926.8992836751831</v>
      </c>
      <c r="C54" s="182">
        <f t="shared" si="0"/>
        <v>-112.35169733442581</v>
      </c>
      <c r="D54" s="248">
        <f t="shared" si="1"/>
        <v>117.96808420409316</v>
      </c>
      <c r="E54" s="183">
        <f t="shared" si="2"/>
        <v>0</v>
      </c>
      <c r="F54" s="184">
        <f t="shared" si="4"/>
        <v>0</v>
      </c>
      <c r="G54" s="63"/>
      <c r="H54" s="93"/>
      <c r="I54" s="92"/>
      <c r="J54" s="94"/>
    </row>
    <row r="55" spans="1:10" ht="12.75">
      <c r="A55" s="180">
        <v>11</v>
      </c>
      <c r="B55" s="181">
        <f t="shared" si="3"/>
        <v>1029.8880929724257</v>
      </c>
      <c r="C55" s="182">
        <f t="shared" si="0"/>
        <v>-138.16855259380645</v>
      </c>
      <c r="D55" s="248">
        <f t="shared" si="1"/>
        <v>99.0573915006452</v>
      </c>
      <c r="E55" s="183">
        <f t="shared" si="2"/>
        <v>45.0509610061986</v>
      </c>
      <c r="F55" s="184">
        <f t="shared" si="4"/>
        <v>13.530378650318921</v>
      </c>
      <c r="G55" s="63"/>
      <c r="H55" s="93"/>
      <c r="I55" s="92"/>
      <c r="J55" s="94"/>
    </row>
    <row r="56" spans="1:10" ht="12.75">
      <c r="A56" s="180">
        <v>12</v>
      </c>
      <c r="B56" s="181">
        <f t="shared" si="3"/>
        <v>1132.8769022696683</v>
      </c>
      <c r="C56" s="182">
        <f t="shared" si="0"/>
        <v>-163.9854078531871</v>
      </c>
      <c r="D56" s="248">
        <f t="shared" si="1"/>
        <v>79.30639671146972</v>
      </c>
      <c r="E56" s="183">
        <f t="shared" si="2"/>
        <v>43.65323730473979</v>
      </c>
      <c r="F56" s="184">
        <f t="shared" si="4"/>
        <v>13.110593355912862</v>
      </c>
      <c r="G56" s="63"/>
      <c r="H56" s="93"/>
      <c r="I56" s="92"/>
      <c r="J56" s="94"/>
    </row>
    <row r="57" spans="1:10" ht="12.75">
      <c r="A57" s="191">
        <v>13</v>
      </c>
      <c r="B57" s="138">
        <f t="shared" si="3"/>
        <v>1235.865711566911</v>
      </c>
      <c r="C57" s="137">
        <f t="shared" si="0"/>
        <v>-189.80226311256774</v>
      </c>
      <c r="D57" s="137">
        <f t="shared" si="1"/>
        <v>60.560981600846276</v>
      </c>
      <c r="E57" s="169">
        <f t="shared" si="2"/>
        <v>0</v>
      </c>
      <c r="F57" s="192">
        <f t="shared" si="4"/>
        <v>0</v>
      </c>
      <c r="G57" s="63"/>
      <c r="H57" s="93"/>
      <c r="I57" s="92"/>
      <c r="J57" s="94"/>
    </row>
    <row r="58" spans="1:10" ht="12.75">
      <c r="A58" s="191">
        <v>14</v>
      </c>
      <c r="B58" s="138">
        <f t="shared" si="3"/>
        <v>1338.8545208641535</v>
      </c>
      <c r="C58" s="137">
        <f t="shared" si="0"/>
        <v>-215.6191183719484</v>
      </c>
      <c r="D58" s="137">
        <f t="shared" si="1"/>
        <v>45.627124185869704</v>
      </c>
      <c r="E58" s="169">
        <f t="shared" si="2"/>
        <v>0</v>
      </c>
      <c r="F58" s="192">
        <f t="shared" si="4"/>
        <v>0</v>
      </c>
      <c r="G58" s="63"/>
      <c r="H58" s="93"/>
      <c r="I58" s="92"/>
      <c r="J58" s="94"/>
    </row>
    <row r="59" spans="1:10" ht="12.75">
      <c r="A59" s="191">
        <v>15</v>
      </c>
      <c r="B59" s="138">
        <f t="shared" si="3"/>
        <v>1441.8433301613961</v>
      </c>
      <c r="C59" s="137">
        <f t="shared" si="0"/>
        <v>-241.43597363132903</v>
      </c>
      <c r="D59" s="137">
        <f t="shared" si="1"/>
        <v>39.865180504003966</v>
      </c>
      <c r="E59" s="169">
        <f t="shared" si="2"/>
        <v>0</v>
      </c>
      <c r="F59" s="192">
        <f t="shared" si="4"/>
        <v>0</v>
      </c>
      <c r="G59" s="63"/>
      <c r="H59" s="93"/>
      <c r="I59" s="92"/>
      <c r="J59" s="94"/>
    </row>
    <row r="60" spans="1:10" ht="12.75">
      <c r="A60" s="180">
        <v>16</v>
      </c>
      <c r="B60" s="181">
        <f t="shared" si="3"/>
        <v>1544.8321394586387</v>
      </c>
      <c r="C60" s="182">
        <f t="shared" si="0"/>
        <v>-267.25282889070974</v>
      </c>
      <c r="D60" s="248">
        <f t="shared" si="1"/>
        <v>46.955482044906404</v>
      </c>
      <c r="E60" s="183">
        <f t="shared" si="2"/>
        <v>0</v>
      </c>
      <c r="F60" s="184">
        <f t="shared" si="4"/>
        <v>0</v>
      </c>
      <c r="G60" s="63"/>
      <c r="H60" s="93"/>
      <c r="I60" s="92"/>
      <c r="J60" s="94"/>
    </row>
    <row r="61" spans="1:10" ht="12.75">
      <c r="A61" s="186">
        <v>17</v>
      </c>
      <c r="B61" s="187">
        <f t="shared" si="3"/>
        <v>1647.8209487558813</v>
      </c>
      <c r="C61" s="188">
        <f t="shared" si="0"/>
        <v>-293.0696841500904</v>
      </c>
      <c r="D61" s="249">
        <f t="shared" si="1"/>
        <v>62.52735789221182</v>
      </c>
      <c r="E61" s="189">
        <f t="shared" si="2"/>
        <v>0</v>
      </c>
      <c r="F61" s="234">
        <f t="shared" si="4"/>
        <v>0</v>
      </c>
      <c r="G61" s="63"/>
      <c r="H61" s="93"/>
      <c r="I61" s="92"/>
      <c r="J61" s="94"/>
    </row>
    <row r="62" spans="1:11" ht="25.5">
      <c r="A62" s="230"/>
      <c r="B62" s="231"/>
      <c r="C62" s="232" t="s">
        <v>86</v>
      </c>
      <c r="D62" s="235">
        <f>D43+Figure!B18</f>
        <v>8</v>
      </c>
      <c r="E62" s="231"/>
      <c r="F62" s="233"/>
      <c r="G62" s="86"/>
      <c r="H62" s="86"/>
      <c r="I62" s="86"/>
      <c r="J62" s="63"/>
      <c r="K62" s="86"/>
    </row>
    <row r="63" spans="1:11" ht="25.5">
      <c r="A63" s="147" t="s">
        <v>54</v>
      </c>
      <c r="B63" s="148" t="s">
        <v>62</v>
      </c>
      <c r="C63" s="149" t="s">
        <v>63</v>
      </c>
      <c r="D63" s="150" t="s">
        <v>82</v>
      </c>
      <c r="E63" s="168" t="s">
        <v>83</v>
      </c>
      <c r="F63" s="170" t="s">
        <v>64</v>
      </c>
      <c r="G63" s="86"/>
      <c r="H63" s="86"/>
      <c r="I63" s="86"/>
      <c r="J63" s="63"/>
      <c r="K63" s="86"/>
    </row>
    <row r="64" spans="1:11" ht="12.75">
      <c r="A64" s="191">
        <v>1</v>
      </c>
      <c r="B64" s="136">
        <v>0</v>
      </c>
      <c r="C64" s="137">
        <f aca="true" t="shared" si="5" ref="C64:C71">$B$17+$B$23*B64</f>
        <v>120</v>
      </c>
      <c r="D64" s="137">
        <f aca="true" t="shared" si="6" ref="D64:D80">deg*ACOS(SIN($B$24/deg)*SIN(($B$18+$D$62)/deg)+COS($B$24/deg)*COS(($B$18+$D$62)/deg)*COS((C64-$B$19)/deg))</f>
        <v>31.84362220278508</v>
      </c>
      <c r="E64" s="169">
        <f aca="true" t="shared" si="7" ref="E64:E71">IF(OR(((COS($B$42/deg)-COS($B$27/deg)*COS(D64/deg))/(SIN($B$27/deg)*SIN(D64/deg)))&gt;1,((COS($B$42/deg)-COS($B$27/deg)*COS(D64/deg))/(SIN($B$27/deg)*SIN(D64/deg)))&lt;-1),0,2*deg*ACOS((COS($B$42/deg)-COS($B$27/deg)*COS(D64/deg))/(SIN($B$27/deg)*SIN(D64/deg))))</f>
        <v>0</v>
      </c>
      <c r="F64" s="139">
        <f>E64/$B$26</f>
        <v>0</v>
      </c>
      <c r="G64" s="86"/>
      <c r="H64" s="86"/>
      <c r="I64" s="86"/>
      <c r="J64" s="63"/>
      <c r="K64" s="86"/>
    </row>
    <row r="65" spans="1:11" ht="12.75">
      <c r="A65" s="191">
        <v>2</v>
      </c>
      <c r="B65" s="138">
        <f aca="true" t="shared" si="8" ref="B65:B71">B64+$B$39</f>
        <v>102.98880929724255</v>
      </c>
      <c r="C65" s="137">
        <f t="shared" si="5"/>
        <v>94.18314474061935</v>
      </c>
      <c r="D65" s="137">
        <f t="shared" si="6"/>
        <v>39.32137558567438</v>
      </c>
      <c r="E65" s="169">
        <f t="shared" si="7"/>
        <v>0</v>
      </c>
      <c r="F65" s="139">
        <f aca="true" t="shared" si="9" ref="F65:F71">E65/$B$26</f>
        <v>0</v>
      </c>
      <c r="G65" s="86"/>
      <c r="H65" s="87"/>
      <c r="I65" s="86"/>
      <c r="J65" s="63"/>
      <c r="K65" s="86"/>
    </row>
    <row r="66" spans="1:11" ht="12.75">
      <c r="A66" s="191">
        <v>3</v>
      </c>
      <c r="B66" s="138">
        <f t="shared" si="8"/>
        <v>205.9776185944851</v>
      </c>
      <c r="C66" s="137">
        <f t="shared" si="5"/>
        <v>68.36628948123871</v>
      </c>
      <c r="D66" s="137">
        <f t="shared" si="6"/>
        <v>55.8687726285295</v>
      </c>
      <c r="E66" s="169">
        <f t="shared" si="7"/>
        <v>0</v>
      </c>
      <c r="F66" s="139">
        <f t="shared" si="9"/>
        <v>0</v>
      </c>
      <c r="G66" s="86"/>
      <c r="H66" s="86"/>
      <c r="I66" s="86"/>
      <c r="J66" s="63"/>
      <c r="K66" s="86"/>
    </row>
    <row r="67" spans="1:11" ht="12.75">
      <c r="A67" s="180">
        <v>4</v>
      </c>
      <c r="B67" s="181">
        <f t="shared" si="8"/>
        <v>308.9664278917277</v>
      </c>
      <c r="C67" s="182">
        <f t="shared" si="5"/>
        <v>42.54943422185808</v>
      </c>
      <c r="D67" s="248">
        <f t="shared" si="6"/>
        <v>75.26362273387474</v>
      </c>
      <c r="E67" s="183">
        <f t="shared" si="7"/>
        <v>38.80180166427058</v>
      </c>
      <c r="F67" s="185">
        <f t="shared" si="9"/>
        <v>11.653537618429942</v>
      </c>
      <c r="G67" s="86"/>
      <c r="H67" s="86"/>
      <c r="I67" s="86"/>
      <c r="J67" s="63"/>
      <c r="K67" s="86"/>
    </row>
    <row r="68" spans="1:11" ht="12.75">
      <c r="A68" s="180">
        <v>5</v>
      </c>
      <c r="B68" s="181">
        <f t="shared" si="8"/>
        <v>411.9552371889702</v>
      </c>
      <c r="C68" s="182">
        <f t="shared" si="5"/>
        <v>16.732578962477433</v>
      </c>
      <c r="D68" s="248">
        <f t="shared" si="6"/>
        <v>94.89466215640874</v>
      </c>
      <c r="E68" s="183">
        <f t="shared" si="7"/>
        <v>47.43768075649573</v>
      </c>
      <c r="F68" s="185">
        <f t="shared" si="9"/>
        <v>14.247194035217627</v>
      </c>
      <c r="G68" s="86"/>
      <c r="H68" s="86"/>
      <c r="I68" s="86"/>
      <c r="J68" s="63"/>
      <c r="K68" s="86"/>
    </row>
    <row r="69" spans="1:11" ht="12.75">
      <c r="A69" s="180">
        <v>6</v>
      </c>
      <c r="B69" s="181">
        <f t="shared" si="8"/>
        <v>514.9440464862128</v>
      </c>
      <c r="C69" s="182">
        <f t="shared" si="5"/>
        <v>-9.084276296903198</v>
      </c>
      <c r="D69" s="248">
        <f t="shared" si="6"/>
        <v>112.96622633800729</v>
      </c>
      <c r="E69" s="183">
        <f t="shared" si="7"/>
        <v>15.62251127902383</v>
      </c>
      <c r="F69" s="185">
        <f t="shared" si="9"/>
        <v>4.691986327327997</v>
      </c>
      <c r="G69" s="86"/>
      <c r="H69" s="86"/>
      <c r="I69" s="86"/>
      <c r="J69" s="63"/>
      <c r="K69" s="86"/>
    </row>
    <row r="70" spans="1:11" ht="12.75">
      <c r="A70" s="191">
        <v>7</v>
      </c>
      <c r="B70" s="138">
        <f t="shared" si="8"/>
        <v>617.9328557834554</v>
      </c>
      <c r="C70" s="137">
        <f t="shared" si="5"/>
        <v>-34.90113155628384</v>
      </c>
      <c r="D70" s="137">
        <f t="shared" si="6"/>
        <v>126.82439405889778</v>
      </c>
      <c r="E70" s="169">
        <f t="shared" si="7"/>
        <v>0</v>
      </c>
      <c r="F70" s="139">
        <f t="shared" si="9"/>
        <v>0</v>
      </c>
      <c r="G70" s="83"/>
      <c r="H70" s="83"/>
      <c r="I70" s="86"/>
      <c r="J70" s="63"/>
      <c r="K70" s="86"/>
    </row>
    <row r="71" spans="1:11" ht="12.75">
      <c r="A71" s="191">
        <v>8</v>
      </c>
      <c r="B71" s="138">
        <f t="shared" si="8"/>
        <v>720.921665080698</v>
      </c>
      <c r="C71" s="137">
        <f t="shared" si="5"/>
        <v>-60.71798681566449</v>
      </c>
      <c r="D71" s="137">
        <f t="shared" si="6"/>
        <v>132.15176404638092</v>
      </c>
      <c r="E71" s="169">
        <f t="shared" si="7"/>
        <v>0</v>
      </c>
      <c r="F71" s="139">
        <f t="shared" si="9"/>
        <v>0</v>
      </c>
      <c r="G71" s="86"/>
      <c r="H71" s="83"/>
      <c r="I71" s="86"/>
      <c r="J71" s="63"/>
      <c r="K71" s="86"/>
    </row>
    <row r="72" spans="1:11" ht="12.75">
      <c r="A72" s="191">
        <v>9</v>
      </c>
      <c r="B72" s="138">
        <f>B71+$B$39</f>
        <v>823.9104743779405</v>
      </c>
      <c r="C72" s="137">
        <f>$B$17+$B$23*B72</f>
        <v>-86.53484207504516</v>
      </c>
      <c r="D72" s="137">
        <f t="shared" si="6"/>
        <v>126.23269457628614</v>
      </c>
      <c r="E72" s="169">
        <f aca="true" t="shared" si="10" ref="E72:E80">IF(OR(((COS($B$42/deg)-COS($B$27/deg)*COS(D72/deg))/(SIN($B$27/deg)*SIN(D72/deg)))&gt;1,((COS($B$42/deg)-COS($B$27/deg)*COS(D72/deg))/(SIN($B$27/deg)*SIN(D72/deg)))&lt;-1),0,2*deg*ACOS((COS($B$42/deg)-COS($B$27/deg)*COS(D72/deg))/(SIN($B$27/deg)*SIN(D72/deg))))</f>
        <v>0</v>
      </c>
      <c r="F72" s="139">
        <f>E72/$B$26</f>
        <v>0</v>
      </c>
      <c r="G72" s="88"/>
      <c r="H72" s="88"/>
      <c r="I72" s="86"/>
      <c r="J72" s="63"/>
      <c r="K72" s="86"/>
    </row>
    <row r="73" spans="1:11" ht="12.75">
      <c r="A73" s="180">
        <v>10</v>
      </c>
      <c r="B73" s="181">
        <f aca="true" t="shared" si="11" ref="B73:B79">B72+$B$39</f>
        <v>926.8992836751831</v>
      </c>
      <c r="C73" s="182">
        <f aca="true" t="shared" si="12" ref="C73:C80">$B$17+$B$23*B73</f>
        <v>-112.35169733442581</v>
      </c>
      <c r="D73" s="248">
        <f t="shared" si="6"/>
        <v>112.03965059165158</v>
      </c>
      <c r="E73" s="183">
        <f t="shared" si="10"/>
        <v>20.458039146084563</v>
      </c>
      <c r="F73" s="185">
        <f aca="true" t="shared" si="13" ref="F73:F80">E73/$B$26</f>
        <v>6.144264404292851</v>
      </c>
      <c r="G73" s="88"/>
      <c r="H73" s="88"/>
      <c r="I73" s="86"/>
      <c r="J73" s="63"/>
      <c r="K73" s="86"/>
    </row>
    <row r="74" spans="1:11" ht="12.75">
      <c r="A74" s="180">
        <v>11</v>
      </c>
      <c r="B74" s="181">
        <f t="shared" si="11"/>
        <v>1029.8880929724257</v>
      </c>
      <c r="C74" s="182">
        <f t="shared" si="12"/>
        <v>-138.16855259380645</v>
      </c>
      <c r="D74" s="248">
        <f t="shared" si="6"/>
        <v>93.82586065745048</v>
      </c>
      <c r="E74" s="183">
        <f t="shared" si="10"/>
        <v>47.80703990900754</v>
      </c>
      <c r="F74" s="185">
        <f t="shared" si="13"/>
        <v>14.358125502156991</v>
      </c>
      <c r="G74" s="88"/>
      <c r="H74" s="88"/>
      <c r="I74" s="86"/>
      <c r="J74" s="63"/>
      <c r="K74" s="86"/>
    </row>
    <row r="75" spans="1:11" ht="12.75">
      <c r="A75" s="180">
        <v>12</v>
      </c>
      <c r="B75" s="181">
        <f t="shared" si="11"/>
        <v>1132.8769022696683</v>
      </c>
      <c r="C75" s="182">
        <f t="shared" si="12"/>
        <v>-163.9854078531871</v>
      </c>
      <c r="D75" s="248">
        <f t="shared" si="6"/>
        <v>74.16199026995152</v>
      </c>
      <c r="E75" s="183">
        <f t="shared" si="10"/>
        <v>37.04911739896825</v>
      </c>
      <c r="F75" s="185">
        <f t="shared" si="13"/>
        <v>11.127145256661375</v>
      </c>
      <c r="G75" s="88"/>
      <c r="H75" s="88"/>
      <c r="I75" s="86"/>
      <c r="J75" s="63"/>
      <c r="K75" s="86"/>
    </row>
    <row r="76" spans="1:11" ht="12.75">
      <c r="A76" s="191">
        <v>13</v>
      </c>
      <c r="B76" s="138">
        <f t="shared" si="11"/>
        <v>1235.865711566911</v>
      </c>
      <c r="C76" s="137">
        <f t="shared" si="12"/>
        <v>-189.80226311256774</v>
      </c>
      <c r="D76" s="137">
        <f t="shared" si="6"/>
        <v>54.83863663304618</v>
      </c>
      <c r="E76" s="169">
        <f t="shared" si="10"/>
        <v>0</v>
      </c>
      <c r="F76" s="139">
        <f t="shared" si="13"/>
        <v>0</v>
      </c>
      <c r="G76" s="88"/>
      <c r="H76" s="88"/>
      <c r="I76" s="86"/>
      <c r="J76" s="63"/>
      <c r="K76" s="86"/>
    </row>
    <row r="77" spans="1:11" ht="12.75">
      <c r="A77" s="191">
        <v>14</v>
      </c>
      <c r="B77" s="138">
        <f t="shared" si="11"/>
        <v>1338.8545208641535</v>
      </c>
      <c r="C77" s="137">
        <f t="shared" si="12"/>
        <v>-215.6191183719484</v>
      </c>
      <c r="D77" s="137">
        <f t="shared" si="6"/>
        <v>38.584733653896</v>
      </c>
      <c r="E77" s="169">
        <f t="shared" si="10"/>
        <v>0</v>
      </c>
      <c r="F77" s="139">
        <f t="shared" si="13"/>
        <v>0</v>
      </c>
      <c r="G77" s="88"/>
      <c r="H77" s="88"/>
      <c r="I77" s="86"/>
      <c r="J77" s="63"/>
      <c r="K77" s="86"/>
    </row>
    <row r="78" spans="1:11" ht="12.75">
      <c r="A78" s="191">
        <v>15</v>
      </c>
      <c r="B78" s="138">
        <f t="shared" si="11"/>
        <v>1441.8433301613961</v>
      </c>
      <c r="C78" s="137">
        <f t="shared" si="12"/>
        <v>-241.43597363132903</v>
      </c>
      <c r="D78" s="137">
        <f t="shared" si="6"/>
        <v>31.869543158844586</v>
      </c>
      <c r="E78" s="169">
        <f t="shared" si="10"/>
        <v>0</v>
      </c>
      <c r="F78" s="139">
        <f t="shared" si="13"/>
        <v>0</v>
      </c>
      <c r="G78" s="88"/>
      <c r="H78" s="88"/>
      <c r="I78" s="86"/>
      <c r="J78" s="63"/>
      <c r="K78" s="86"/>
    </row>
    <row r="79" spans="1:11" ht="12.75">
      <c r="A79" s="180">
        <v>16</v>
      </c>
      <c r="B79" s="181">
        <f t="shared" si="11"/>
        <v>1544.8321394586387</v>
      </c>
      <c r="C79" s="182">
        <f t="shared" si="12"/>
        <v>-267.25282889070974</v>
      </c>
      <c r="D79" s="248">
        <f t="shared" si="6"/>
        <v>40.084898321303356</v>
      </c>
      <c r="E79" s="183">
        <f t="shared" si="10"/>
        <v>0</v>
      </c>
      <c r="F79" s="185">
        <f t="shared" si="13"/>
        <v>0</v>
      </c>
      <c r="G79" s="88"/>
      <c r="H79" s="88"/>
      <c r="I79" s="86"/>
      <c r="J79" s="63"/>
      <c r="K79" s="86"/>
    </row>
    <row r="80" spans="1:11" ht="12.75">
      <c r="A80" s="186">
        <v>17</v>
      </c>
      <c r="B80" s="187">
        <f>B79+$B$39</f>
        <v>1647.8209487558813</v>
      </c>
      <c r="C80" s="188">
        <f t="shared" si="12"/>
        <v>-293.0696841500904</v>
      </c>
      <c r="D80" s="249">
        <f t="shared" si="6"/>
        <v>56.906776689779896</v>
      </c>
      <c r="E80" s="189">
        <f t="shared" si="10"/>
        <v>0</v>
      </c>
      <c r="F80" s="190">
        <f t="shared" si="13"/>
        <v>0</v>
      </c>
      <c r="G80" s="88"/>
      <c r="H80" s="88"/>
      <c r="I80" s="86"/>
      <c r="J80" s="63"/>
      <c r="K80" s="86"/>
    </row>
    <row r="81" spans="1:11" ht="25.5">
      <c r="A81" s="230"/>
      <c r="B81" s="231"/>
      <c r="C81" s="232" t="s">
        <v>86</v>
      </c>
      <c r="D81" s="235">
        <f>D62+Figure!B18</f>
        <v>16</v>
      </c>
      <c r="E81" s="231"/>
      <c r="F81" s="233"/>
      <c r="G81" s="86"/>
      <c r="H81" s="86"/>
      <c r="I81" s="86"/>
      <c r="J81" s="86"/>
      <c r="K81" s="86"/>
    </row>
    <row r="82" spans="1:11" ht="25.5">
      <c r="A82" s="147" t="s">
        <v>54</v>
      </c>
      <c r="B82" s="148" t="s">
        <v>62</v>
      </c>
      <c r="C82" s="149" t="s">
        <v>63</v>
      </c>
      <c r="D82" s="150" t="s">
        <v>82</v>
      </c>
      <c r="E82" s="168" t="s">
        <v>83</v>
      </c>
      <c r="F82" s="170" t="s">
        <v>64</v>
      </c>
      <c r="G82" s="86"/>
      <c r="H82" s="86"/>
      <c r="I82" s="86"/>
      <c r="J82" s="86"/>
      <c r="K82" s="86"/>
    </row>
    <row r="83" spans="1:11" ht="12.75">
      <c r="A83" s="151">
        <v>1</v>
      </c>
      <c r="B83" s="136">
        <v>0</v>
      </c>
      <c r="C83" s="137">
        <f aca="true" t="shared" si="14" ref="C83:C99">$B$17+$B$23*B83</f>
        <v>120</v>
      </c>
      <c r="D83" s="245">
        <f aca="true" t="shared" si="15" ref="D83:D99">deg*ACOS(SIN($B$24/deg)*SIN(($B$18+$D$81)/deg)+COS($B$24/deg)*COS(($B$18+$D$81)/deg)*COS((C83-$B$19)/deg))</f>
        <v>23.84362220278508</v>
      </c>
      <c r="E83" s="169">
        <f aca="true" t="shared" si="16" ref="E83:E99">IF(OR(((COS($B$42/deg)-COS($B$27/deg)*COS(D83/deg))/(SIN($B$27/deg)*SIN(D83/deg)))&gt;1,((COS($B$42/deg)-COS($B$27/deg)*COS(D83/deg))/(SIN($B$27/deg)*SIN(D83/deg)))&lt;-1),0,2*deg*ACOS((COS($B$42/deg)-COS($B$27/deg)*COS(D83/deg))/(SIN($B$27/deg)*SIN(D83/deg))))</f>
        <v>0</v>
      </c>
      <c r="F83" s="140">
        <f>E83/$B$26</f>
        <v>0</v>
      </c>
      <c r="G83" s="86"/>
      <c r="H83" s="86"/>
      <c r="I83" s="86"/>
      <c r="J83" s="86"/>
      <c r="K83" s="86"/>
    </row>
    <row r="84" spans="1:6" ht="12.75">
      <c r="A84" s="151">
        <v>2</v>
      </c>
      <c r="B84" s="138">
        <f aca="true" t="shared" si="17" ref="B84:B90">B83+$B$39</f>
        <v>102.98880929724255</v>
      </c>
      <c r="C84" s="137">
        <f t="shared" si="14"/>
        <v>94.18314474061935</v>
      </c>
      <c r="D84" s="137">
        <f t="shared" si="15"/>
        <v>32.75544242022064</v>
      </c>
      <c r="E84" s="169">
        <f t="shared" si="16"/>
        <v>0</v>
      </c>
      <c r="F84" s="140">
        <f aca="true" t="shared" si="18" ref="F84:F99">E84/$B$26</f>
        <v>0</v>
      </c>
    </row>
    <row r="85" spans="1:6" ht="12.75">
      <c r="A85" s="151">
        <v>3</v>
      </c>
      <c r="B85" s="138">
        <f t="shared" si="17"/>
        <v>205.9776185944851</v>
      </c>
      <c r="C85" s="137">
        <f t="shared" si="14"/>
        <v>68.36628948123871</v>
      </c>
      <c r="D85" s="137">
        <f t="shared" si="15"/>
        <v>50.60235022721901</v>
      </c>
      <c r="E85" s="169">
        <f t="shared" si="16"/>
        <v>0</v>
      </c>
      <c r="F85" s="140">
        <f t="shared" si="18"/>
        <v>0</v>
      </c>
    </row>
    <row r="86" spans="1:6" ht="12.75">
      <c r="A86" s="180">
        <v>4</v>
      </c>
      <c r="B86" s="181">
        <f t="shared" si="17"/>
        <v>308.9664278917277</v>
      </c>
      <c r="C86" s="182">
        <f t="shared" si="14"/>
        <v>42.54943422185808</v>
      </c>
      <c r="D86" s="248">
        <f t="shared" si="15"/>
        <v>70.30793764262242</v>
      </c>
      <c r="E86" s="183">
        <f t="shared" si="16"/>
        <v>28.675466867659395</v>
      </c>
      <c r="F86" s="213">
        <f t="shared" si="18"/>
        <v>8.612245244684624</v>
      </c>
    </row>
    <row r="87" spans="1:6" ht="12.75">
      <c r="A87" s="180">
        <v>5</v>
      </c>
      <c r="B87" s="181">
        <f t="shared" si="17"/>
        <v>411.9552371889702</v>
      </c>
      <c r="C87" s="182">
        <f t="shared" si="14"/>
        <v>16.732578962477433</v>
      </c>
      <c r="D87" s="248">
        <f t="shared" si="15"/>
        <v>89.58638405022806</v>
      </c>
      <c r="E87" s="183">
        <f t="shared" si="16"/>
        <v>48.37334837147258</v>
      </c>
      <c r="F87" s="213">
        <f t="shared" si="18"/>
        <v>14.52820773256663</v>
      </c>
    </row>
    <row r="88" spans="1:6" ht="12.75">
      <c r="A88" s="180">
        <v>6</v>
      </c>
      <c r="B88" s="181">
        <f t="shared" si="17"/>
        <v>514.9440464862128</v>
      </c>
      <c r="C88" s="182">
        <f t="shared" si="14"/>
        <v>-9.084276296903198</v>
      </c>
      <c r="D88" s="248">
        <f t="shared" si="15"/>
        <v>106.7810732599023</v>
      </c>
      <c r="E88" s="183">
        <f t="shared" si="16"/>
        <v>35.36087043357349</v>
      </c>
      <c r="F88" s="213">
        <f t="shared" si="18"/>
        <v>10.620105668895421</v>
      </c>
    </row>
    <row r="89" spans="1:6" ht="12.75">
      <c r="A89" s="151">
        <v>7</v>
      </c>
      <c r="B89" s="138">
        <f t="shared" si="17"/>
        <v>617.9328557834554</v>
      </c>
      <c r="C89" s="137">
        <f t="shared" si="14"/>
        <v>-34.90113155628384</v>
      </c>
      <c r="D89" s="137">
        <f t="shared" si="15"/>
        <v>119.45662206158859</v>
      </c>
      <c r="E89" s="169">
        <f t="shared" si="16"/>
        <v>0</v>
      </c>
      <c r="F89" s="140">
        <f t="shared" si="18"/>
        <v>0</v>
      </c>
    </row>
    <row r="90" spans="1:6" ht="12.75">
      <c r="A90" s="151">
        <v>8</v>
      </c>
      <c r="B90" s="138">
        <f t="shared" si="17"/>
        <v>720.921665080698</v>
      </c>
      <c r="C90" s="137">
        <f t="shared" si="14"/>
        <v>-60.71798681566449</v>
      </c>
      <c r="D90" s="137">
        <f t="shared" si="15"/>
        <v>124.15236562634887</v>
      </c>
      <c r="E90" s="169">
        <f t="shared" si="16"/>
        <v>0</v>
      </c>
      <c r="F90" s="140">
        <f t="shared" si="18"/>
        <v>0</v>
      </c>
    </row>
    <row r="91" spans="1:6" ht="12.75">
      <c r="A91" s="151">
        <v>9</v>
      </c>
      <c r="B91" s="138">
        <f>B90+$B$39</f>
        <v>823.9104743779405</v>
      </c>
      <c r="C91" s="137">
        <f t="shared" si="14"/>
        <v>-86.53484207504516</v>
      </c>
      <c r="D91" s="137">
        <f t="shared" si="15"/>
        <v>118.92793337644274</v>
      </c>
      <c r="E91" s="169">
        <f t="shared" si="16"/>
        <v>0</v>
      </c>
      <c r="F91" s="140">
        <f t="shared" si="18"/>
        <v>0</v>
      </c>
    </row>
    <row r="92" spans="1:6" ht="12.75">
      <c r="A92" s="180">
        <v>10</v>
      </c>
      <c r="B92" s="181">
        <f aca="true" t="shared" si="19" ref="B92:B99">B91+$B$39</f>
        <v>926.8992836751831</v>
      </c>
      <c r="C92" s="182">
        <f t="shared" si="14"/>
        <v>-112.35169733442581</v>
      </c>
      <c r="D92" s="248">
        <f t="shared" si="15"/>
        <v>105.91511106436577</v>
      </c>
      <c r="E92" s="183">
        <f t="shared" si="16"/>
        <v>36.91797830430251</v>
      </c>
      <c r="F92" s="213">
        <f t="shared" si="18"/>
        <v>11.087759601681821</v>
      </c>
    </row>
    <row r="93" spans="1:6" ht="12.75">
      <c r="A93" s="180">
        <v>11</v>
      </c>
      <c r="B93" s="181">
        <f t="shared" si="19"/>
        <v>1029.8880929724257</v>
      </c>
      <c r="C93" s="182">
        <f t="shared" si="14"/>
        <v>-138.16855259380645</v>
      </c>
      <c r="D93" s="248">
        <f t="shared" si="15"/>
        <v>88.5517564596715</v>
      </c>
      <c r="E93" s="183">
        <f t="shared" si="16"/>
        <v>48.29841793367839</v>
      </c>
      <c r="F93" s="213">
        <f t="shared" si="18"/>
        <v>14.505703502398262</v>
      </c>
    </row>
    <row r="94" spans="1:6" ht="12.75">
      <c r="A94" s="180">
        <v>12</v>
      </c>
      <c r="B94" s="181">
        <f t="shared" si="19"/>
        <v>1132.8769022696683</v>
      </c>
      <c r="C94" s="182">
        <f t="shared" si="14"/>
        <v>-163.9854078531871</v>
      </c>
      <c r="D94" s="248">
        <f t="shared" si="15"/>
        <v>69.20851221443863</v>
      </c>
      <c r="E94" s="183">
        <f t="shared" si="16"/>
        <v>25.296386860497073</v>
      </c>
      <c r="F94" s="213">
        <f t="shared" si="18"/>
        <v>7.597389380004225</v>
      </c>
    </row>
    <row r="95" spans="1:6" ht="12.75">
      <c r="A95" s="151">
        <v>13</v>
      </c>
      <c r="B95" s="138">
        <f t="shared" si="19"/>
        <v>1235.865711566911</v>
      </c>
      <c r="C95" s="137">
        <f t="shared" si="14"/>
        <v>-189.80226311256774</v>
      </c>
      <c r="D95" s="137">
        <f t="shared" si="15"/>
        <v>49.52949614942629</v>
      </c>
      <c r="E95" s="169">
        <f t="shared" si="16"/>
        <v>0</v>
      </c>
      <c r="F95" s="140">
        <f t="shared" si="18"/>
        <v>0</v>
      </c>
    </row>
    <row r="96" spans="1:6" ht="12.75">
      <c r="A96" s="151">
        <v>14</v>
      </c>
      <c r="B96" s="138">
        <f t="shared" si="19"/>
        <v>1338.8545208641535</v>
      </c>
      <c r="C96" s="137">
        <f t="shared" si="14"/>
        <v>-215.6191183719484</v>
      </c>
      <c r="D96" s="137">
        <f t="shared" si="15"/>
        <v>31.914959858900588</v>
      </c>
      <c r="E96" s="169">
        <f t="shared" si="16"/>
        <v>0</v>
      </c>
      <c r="F96" s="140">
        <f t="shared" si="18"/>
        <v>0</v>
      </c>
    </row>
    <row r="97" spans="1:6" ht="12.75">
      <c r="A97" s="151">
        <v>15</v>
      </c>
      <c r="B97" s="138">
        <f t="shared" si="19"/>
        <v>1441.8433301613961</v>
      </c>
      <c r="C97" s="137">
        <f t="shared" si="14"/>
        <v>-241.43597363132903</v>
      </c>
      <c r="D97" s="137">
        <f t="shared" si="15"/>
        <v>23.87645307375613</v>
      </c>
      <c r="E97" s="169">
        <f t="shared" si="16"/>
        <v>0</v>
      </c>
      <c r="F97" s="140">
        <f t="shared" si="18"/>
        <v>0</v>
      </c>
    </row>
    <row r="98" spans="1:6" ht="12.75">
      <c r="A98" s="180">
        <v>16</v>
      </c>
      <c r="B98" s="181">
        <f t="shared" si="19"/>
        <v>1544.8321394586387</v>
      </c>
      <c r="C98" s="182">
        <f t="shared" si="14"/>
        <v>-267.25282889070974</v>
      </c>
      <c r="D98" s="248">
        <f t="shared" si="15"/>
        <v>33.62038872876916</v>
      </c>
      <c r="E98" s="183">
        <f t="shared" si="16"/>
        <v>0</v>
      </c>
      <c r="F98" s="213">
        <f t="shared" si="18"/>
        <v>0</v>
      </c>
    </row>
    <row r="99" spans="1:6" ht="12.75">
      <c r="A99" s="186">
        <v>17</v>
      </c>
      <c r="B99" s="187">
        <f t="shared" si="19"/>
        <v>1647.8209487558813</v>
      </c>
      <c r="C99" s="188">
        <f t="shared" si="14"/>
        <v>-293.0696841500904</v>
      </c>
      <c r="D99" s="249">
        <f t="shared" si="15"/>
        <v>51.679965854572046</v>
      </c>
      <c r="E99" s="189">
        <f t="shared" si="16"/>
        <v>0</v>
      </c>
      <c r="F99" s="214">
        <f t="shared" si="18"/>
        <v>0</v>
      </c>
    </row>
    <row r="100" spans="1:6" ht="25.5">
      <c r="A100" s="230"/>
      <c r="B100" s="231"/>
      <c r="C100" s="232" t="s">
        <v>86</v>
      </c>
      <c r="D100" s="235">
        <f>D81+Figure!B18</f>
        <v>24</v>
      </c>
      <c r="E100" s="231"/>
      <c r="F100" s="233"/>
    </row>
    <row r="101" spans="1:6" ht="25.5">
      <c r="A101" s="147" t="s">
        <v>54</v>
      </c>
      <c r="B101" s="148" t="s">
        <v>62</v>
      </c>
      <c r="C101" s="149" t="s">
        <v>63</v>
      </c>
      <c r="D101" s="150" t="s">
        <v>82</v>
      </c>
      <c r="E101" s="168" t="s">
        <v>83</v>
      </c>
      <c r="F101" s="170" t="s">
        <v>64</v>
      </c>
    </row>
    <row r="102" spans="1:6" ht="12.75">
      <c r="A102" s="151">
        <v>1</v>
      </c>
      <c r="B102" s="136">
        <v>0</v>
      </c>
      <c r="C102" s="137">
        <f aca="true" t="shared" si="20" ref="C102:C118">$B$17+$B$23*B102</f>
        <v>120</v>
      </c>
      <c r="D102" s="245">
        <f aca="true" t="shared" si="21" ref="D102:D118">deg*ACOS(SIN($B$24/deg)*SIN(($B$18+$D$100)/deg)+COS($B$24/deg)*COS(($B$18+$D$100)/deg)*COS((C102-$B$19)/deg))</f>
        <v>15.84362220278507</v>
      </c>
      <c r="E102" s="169">
        <f aca="true" t="shared" si="22" ref="E102:E118">IF(OR(((COS($B$42/deg)-COS($B$27/deg)*COS(D102/deg))/(SIN($B$27/deg)*SIN(D102/deg)))&gt;1,((COS($B$42/deg)-COS($B$27/deg)*COS(D102/deg))/(SIN($B$27/deg)*SIN(D102/deg)))&lt;-1),0,2*deg*ACOS((COS($B$42/deg)-COS($B$27/deg)*COS(D102/deg))/(SIN($B$27/deg)*SIN(D102/deg))))</f>
        <v>0</v>
      </c>
      <c r="F102" s="141">
        <f>E102/$B$26</f>
        <v>0</v>
      </c>
    </row>
    <row r="103" spans="1:6" ht="12.75">
      <c r="A103" s="151">
        <v>2</v>
      </c>
      <c r="B103" s="138">
        <f aca="true" t="shared" si="23" ref="B103:B110">B102+$B$39</f>
        <v>102.98880929724255</v>
      </c>
      <c r="C103" s="137">
        <f t="shared" si="20"/>
        <v>94.18314474061935</v>
      </c>
      <c r="D103" s="137">
        <f t="shared" si="21"/>
        <v>26.874028559924014</v>
      </c>
      <c r="E103" s="169">
        <f t="shared" si="22"/>
        <v>0</v>
      </c>
      <c r="F103" s="141">
        <f aca="true" t="shared" si="24" ref="F103:F118">E103/$B$26</f>
        <v>0</v>
      </c>
    </row>
    <row r="104" spans="1:6" ht="12.75">
      <c r="A104" s="151">
        <v>3</v>
      </c>
      <c r="B104" s="138">
        <f t="shared" si="23"/>
        <v>205.9776185944851</v>
      </c>
      <c r="C104" s="137">
        <f t="shared" si="20"/>
        <v>68.36628948123871</v>
      </c>
      <c r="D104" s="137">
        <f t="shared" si="21"/>
        <v>45.89673483733046</v>
      </c>
      <c r="E104" s="169">
        <f t="shared" si="22"/>
        <v>0</v>
      </c>
      <c r="F104" s="141">
        <f t="shared" si="24"/>
        <v>0</v>
      </c>
    </row>
    <row r="105" spans="1:6" ht="12.75">
      <c r="A105" s="180">
        <v>4</v>
      </c>
      <c r="B105" s="181">
        <f t="shared" si="23"/>
        <v>308.9664278917277</v>
      </c>
      <c r="C105" s="182">
        <f t="shared" si="20"/>
        <v>42.54943422185808</v>
      </c>
      <c r="D105" s="248">
        <f t="shared" si="21"/>
        <v>65.60663297034328</v>
      </c>
      <c r="E105" s="183">
        <f t="shared" si="22"/>
        <v>0</v>
      </c>
      <c r="F105" s="213">
        <f t="shared" si="24"/>
        <v>0</v>
      </c>
    </row>
    <row r="106" spans="1:6" ht="12.75">
      <c r="A106" s="180">
        <v>5</v>
      </c>
      <c r="B106" s="181">
        <f t="shared" si="23"/>
        <v>411.9552371889702</v>
      </c>
      <c r="C106" s="182">
        <f t="shared" si="20"/>
        <v>16.732578962477433</v>
      </c>
      <c r="D106" s="248">
        <f t="shared" si="21"/>
        <v>84.28263128376221</v>
      </c>
      <c r="E106" s="183">
        <f t="shared" si="22"/>
        <v>47.08842016260617</v>
      </c>
      <c r="F106" s="213">
        <f t="shared" si="24"/>
        <v>14.142298868113183</v>
      </c>
    </row>
    <row r="107" spans="1:6" ht="12.75">
      <c r="A107" s="180">
        <v>6</v>
      </c>
      <c r="B107" s="181">
        <f t="shared" si="23"/>
        <v>514.9440464862128</v>
      </c>
      <c r="C107" s="182">
        <f t="shared" si="20"/>
        <v>-9.084276296903198</v>
      </c>
      <c r="D107" s="248">
        <f t="shared" si="21"/>
        <v>100.46431589922389</v>
      </c>
      <c r="E107" s="183">
        <f t="shared" si="22"/>
        <v>43.86650355550554</v>
      </c>
      <c r="F107" s="213">
        <f t="shared" si="24"/>
        <v>13.17464466717784</v>
      </c>
    </row>
    <row r="108" spans="1:6" ht="12.75">
      <c r="A108" s="151">
        <v>7</v>
      </c>
      <c r="B108" s="138">
        <f t="shared" si="23"/>
        <v>617.9328557834554</v>
      </c>
      <c r="C108" s="137">
        <f t="shared" si="20"/>
        <v>-34.90113155628384</v>
      </c>
      <c r="D108" s="137">
        <f t="shared" si="21"/>
        <v>111.99915192230554</v>
      </c>
      <c r="E108" s="169">
        <f t="shared" si="22"/>
        <v>20.63875157406143</v>
      </c>
      <c r="F108" s="141">
        <f t="shared" si="24"/>
        <v>6.198538664435917</v>
      </c>
    </row>
    <row r="109" spans="1:6" ht="12.75">
      <c r="A109" s="151">
        <v>8</v>
      </c>
      <c r="B109" s="138">
        <f t="shared" si="23"/>
        <v>720.921665080698</v>
      </c>
      <c r="C109" s="137">
        <f t="shared" si="20"/>
        <v>-60.71798681566449</v>
      </c>
      <c r="D109" s="137">
        <f t="shared" si="21"/>
        <v>116.15286248418599</v>
      </c>
      <c r="E109" s="169">
        <f t="shared" si="22"/>
        <v>0</v>
      </c>
      <c r="F109" s="141">
        <f t="shared" si="24"/>
        <v>0</v>
      </c>
    </row>
    <row r="110" spans="1:6" ht="12.75">
      <c r="A110" s="151">
        <v>9</v>
      </c>
      <c r="B110" s="138">
        <f t="shared" si="23"/>
        <v>823.9104743779405</v>
      </c>
      <c r="C110" s="137">
        <f t="shared" si="20"/>
        <v>-86.53484207504516</v>
      </c>
      <c r="D110" s="137">
        <f t="shared" si="21"/>
        <v>111.52686155427551</v>
      </c>
      <c r="E110" s="169">
        <f t="shared" si="22"/>
        <v>22.6131041232753</v>
      </c>
      <c r="F110" s="141">
        <f t="shared" si="24"/>
        <v>6.791505761772875</v>
      </c>
    </row>
    <row r="111" spans="1:6" ht="12.75">
      <c r="A111" s="215">
        <v>10</v>
      </c>
      <c r="B111" s="181">
        <f aca="true" t="shared" si="25" ref="B111:B118">B110+$B$39</f>
        <v>926.8992836751831</v>
      </c>
      <c r="C111" s="182">
        <f t="shared" si="20"/>
        <v>-112.35169733442581</v>
      </c>
      <c r="D111" s="248">
        <f t="shared" si="21"/>
        <v>99.66227473499937</v>
      </c>
      <c r="E111" s="183">
        <f t="shared" si="22"/>
        <v>44.56727538597648</v>
      </c>
      <c r="F111" s="213">
        <f t="shared" si="24"/>
        <v>13.385110948073477</v>
      </c>
    </row>
    <row r="112" spans="1:6" ht="12.75">
      <c r="A112" s="215">
        <v>11</v>
      </c>
      <c r="B112" s="181">
        <f t="shared" si="25"/>
        <v>1029.8880929724257</v>
      </c>
      <c r="C112" s="182">
        <f t="shared" si="20"/>
        <v>-138.16855259380645</v>
      </c>
      <c r="D112" s="248">
        <f t="shared" si="21"/>
        <v>83.29368622206388</v>
      </c>
      <c r="E112" s="183">
        <f t="shared" si="22"/>
        <v>46.59139801078041</v>
      </c>
      <c r="F112" s="213">
        <f t="shared" si="24"/>
        <v>13.993025739158762</v>
      </c>
    </row>
    <row r="113" spans="1:6" ht="12.75">
      <c r="A113" s="215">
        <v>12</v>
      </c>
      <c r="B113" s="181">
        <f t="shared" si="25"/>
        <v>1132.8769022696683</v>
      </c>
      <c r="C113" s="182">
        <f t="shared" si="20"/>
        <v>-163.9854078531871</v>
      </c>
      <c r="D113" s="248">
        <f t="shared" si="21"/>
        <v>64.52554873632525</v>
      </c>
      <c r="E113" s="183">
        <f t="shared" si="22"/>
        <v>0</v>
      </c>
      <c r="F113" s="213">
        <f t="shared" si="24"/>
        <v>0</v>
      </c>
    </row>
    <row r="114" spans="1:6" ht="12.75">
      <c r="A114" s="193">
        <v>13</v>
      </c>
      <c r="B114" s="138">
        <f t="shared" si="25"/>
        <v>1235.865711566911</v>
      </c>
      <c r="C114" s="137">
        <f t="shared" si="20"/>
        <v>-189.80226311256774</v>
      </c>
      <c r="D114" s="137">
        <f t="shared" si="21"/>
        <v>44.79772600132878</v>
      </c>
      <c r="E114" s="169">
        <f t="shared" si="22"/>
        <v>0</v>
      </c>
      <c r="F114" s="141">
        <f t="shared" si="24"/>
        <v>0</v>
      </c>
    </row>
    <row r="115" spans="1:6" ht="12.75">
      <c r="A115" s="193">
        <v>14</v>
      </c>
      <c r="B115" s="138">
        <f t="shared" si="25"/>
        <v>1338.8545208641535</v>
      </c>
      <c r="C115" s="137">
        <f t="shared" si="20"/>
        <v>-215.6191183719484</v>
      </c>
      <c r="D115" s="137">
        <f t="shared" si="21"/>
        <v>25.912939523245477</v>
      </c>
      <c r="E115" s="169">
        <f t="shared" si="22"/>
        <v>0</v>
      </c>
      <c r="F115" s="141">
        <f t="shared" si="24"/>
        <v>0</v>
      </c>
    </row>
    <row r="116" spans="1:6" ht="12.75">
      <c r="A116" s="193">
        <v>15</v>
      </c>
      <c r="B116" s="138">
        <f t="shared" si="25"/>
        <v>1441.8433301613961</v>
      </c>
      <c r="C116" s="137">
        <f t="shared" si="20"/>
        <v>-241.43597363132903</v>
      </c>
      <c r="D116" s="137">
        <f t="shared" si="21"/>
        <v>15.889785265328594</v>
      </c>
      <c r="E116" s="169">
        <f t="shared" si="22"/>
        <v>0</v>
      </c>
      <c r="F116" s="141">
        <f t="shared" si="24"/>
        <v>0</v>
      </c>
    </row>
    <row r="117" spans="1:6" ht="12.75">
      <c r="A117" s="215">
        <v>16</v>
      </c>
      <c r="B117" s="181">
        <f t="shared" si="25"/>
        <v>1544.8321394586387</v>
      </c>
      <c r="C117" s="182">
        <f t="shared" si="20"/>
        <v>-267.25282889070974</v>
      </c>
      <c r="D117" s="248">
        <f t="shared" si="21"/>
        <v>27.85297918025349</v>
      </c>
      <c r="E117" s="183">
        <f t="shared" si="22"/>
        <v>0</v>
      </c>
      <c r="F117" s="213">
        <f t="shared" si="24"/>
        <v>0</v>
      </c>
    </row>
    <row r="118" spans="1:6" ht="12.75">
      <c r="A118" s="216">
        <v>17</v>
      </c>
      <c r="B118" s="187">
        <f t="shared" si="25"/>
        <v>1647.8209487558813</v>
      </c>
      <c r="C118" s="188">
        <f t="shared" si="20"/>
        <v>-293.0696841500904</v>
      </c>
      <c r="D118" s="249">
        <f t="shared" si="21"/>
        <v>46.997106704410655</v>
      </c>
      <c r="E118" s="189">
        <f t="shared" si="22"/>
        <v>0</v>
      </c>
      <c r="F118" s="214">
        <f t="shared" si="24"/>
        <v>0</v>
      </c>
    </row>
    <row r="119" spans="1:6" ht="25.5">
      <c r="A119" s="227"/>
      <c r="B119" s="228"/>
      <c r="C119" s="232" t="s">
        <v>86</v>
      </c>
      <c r="D119" s="235">
        <f>D100+Figure!B18</f>
        <v>32</v>
      </c>
      <c r="E119" s="228"/>
      <c r="F119" s="229"/>
    </row>
    <row r="120" spans="1:6" ht="25.5">
      <c r="A120" s="147" t="s">
        <v>54</v>
      </c>
      <c r="B120" s="148" t="s">
        <v>62</v>
      </c>
      <c r="C120" s="149" t="s">
        <v>63</v>
      </c>
      <c r="D120" s="150" t="s">
        <v>82</v>
      </c>
      <c r="E120" s="168" t="s">
        <v>83</v>
      </c>
      <c r="F120" s="170" t="s">
        <v>64</v>
      </c>
    </row>
    <row r="121" spans="1:6" ht="12.75">
      <c r="A121" s="151">
        <v>1</v>
      </c>
      <c r="B121" s="136">
        <v>0</v>
      </c>
      <c r="C121" s="137">
        <f aca="true" t="shared" si="26" ref="C121:C137">$B$17+$B$23*B121</f>
        <v>120</v>
      </c>
      <c r="D121" s="245">
        <f aca="true" t="shared" si="27" ref="D121:D137">deg*ACOS(SIN($B$24/deg)*SIN(($B$18+$D$119)/deg)+COS($B$24/deg)*COS(($B$18+$D$119)/deg)*COS((C121-$B$19)/deg))</f>
        <v>7.843622202785072</v>
      </c>
      <c r="E121" s="169">
        <f aca="true" t="shared" si="28" ref="E121:E137">IF(OR(((COS($B$42/deg)-COS($B$27/deg)*COS(D121/deg))/(SIN($B$27/deg)*SIN(D121/deg)))&gt;1,((COS($B$42/deg)-COS($B$27/deg)*COS(D121/deg))/(SIN($B$27/deg)*SIN(D121/deg)))&lt;-1),0,2*deg*ACOS((COS($B$42/deg)-COS($B$27/deg)*COS(D121/deg))/(SIN($B$27/deg)*SIN(D121/deg))))</f>
        <v>0</v>
      </c>
      <c r="F121" s="141">
        <f>E121/$B$26</f>
        <v>0</v>
      </c>
    </row>
    <row r="122" spans="1:6" ht="12.75">
      <c r="A122" s="151">
        <v>2</v>
      </c>
      <c r="B122" s="138">
        <f aca="true" t="shared" si="29" ref="B122:B129">B121+$B$39</f>
        <v>102.98880929724255</v>
      </c>
      <c r="C122" s="137">
        <f t="shared" si="26"/>
        <v>94.18314474061935</v>
      </c>
      <c r="D122" s="137">
        <f t="shared" si="27"/>
        <v>22.23257696953847</v>
      </c>
      <c r="E122" s="169">
        <f t="shared" si="28"/>
        <v>0</v>
      </c>
      <c r="F122" s="141">
        <f aca="true" t="shared" si="30" ref="F122:F137">E122/$B$26</f>
        <v>0</v>
      </c>
    </row>
    <row r="123" spans="1:6" ht="12.75">
      <c r="A123" s="151">
        <v>3</v>
      </c>
      <c r="B123" s="138">
        <f t="shared" si="29"/>
        <v>205.9776185944851</v>
      </c>
      <c r="C123" s="137">
        <f t="shared" si="26"/>
        <v>68.36628948123871</v>
      </c>
      <c r="D123" s="137">
        <f t="shared" si="27"/>
        <v>41.95563878323424</v>
      </c>
      <c r="E123" s="169">
        <f t="shared" si="28"/>
        <v>0</v>
      </c>
      <c r="F123" s="141">
        <f t="shared" si="30"/>
        <v>0</v>
      </c>
    </row>
    <row r="124" spans="1:6" ht="12.75">
      <c r="A124" s="180">
        <v>4</v>
      </c>
      <c r="B124" s="181">
        <f t="shared" si="29"/>
        <v>308.9664278917277</v>
      </c>
      <c r="C124" s="182">
        <f t="shared" si="26"/>
        <v>42.54943422185808</v>
      </c>
      <c r="D124" s="248">
        <f t="shared" si="27"/>
        <v>61.249617745751266</v>
      </c>
      <c r="E124" s="183">
        <f t="shared" si="28"/>
        <v>0</v>
      </c>
      <c r="F124" s="213">
        <f t="shared" si="30"/>
        <v>0</v>
      </c>
    </row>
    <row r="125" spans="1:6" ht="12.75">
      <c r="A125" s="180">
        <v>5</v>
      </c>
      <c r="B125" s="181">
        <f t="shared" si="29"/>
        <v>411.9552371889702</v>
      </c>
      <c r="C125" s="182">
        <f t="shared" si="26"/>
        <v>16.732578962477433</v>
      </c>
      <c r="D125" s="248">
        <f t="shared" si="27"/>
        <v>79.04226338507931</v>
      </c>
      <c r="E125" s="183">
        <f t="shared" si="28"/>
        <v>43.4002058877051</v>
      </c>
      <c r="F125" s="213">
        <f t="shared" si="30"/>
        <v>13.034599174957764</v>
      </c>
    </row>
    <row r="126" spans="1:6" ht="12.75">
      <c r="A126" s="180">
        <v>6</v>
      </c>
      <c r="B126" s="181">
        <f t="shared" si="29"/>
        <v>514.9440464862128</v>
      </c>
      <c r="C126" s="182">
        <f t="shared" si="26"/>
        <v>-9.084276296903198</v>
      </c>
      <c r="D126" s="248">
        <f t="shared" si="27"/>
        <v>94.07117287910944</v>
      </c>
      <c r="E126" s="183">
        <f t="shared" si="28"/>
        <v>47.7305632708082</v>
      </c>
      <c r="F126" s="213">
        <f t="shared" si="30"/>
        <v>14.335156893949096</v>
      </c>
    </row>
    <row r="127" spans="1:6" ht="12.75">
      <c r="A127" s="151">
        <v>7</v>
      </c>
      <c r="B127" s="138">
        <f t="shared" si="29"/>
        <v>617.9328557834554</v>
      </c>
      <c r="C127" s="137">
        <f t="shared" si="26"/>
        <v>-34.90113155628384</v>
      </c>
      <c r="D127" s="137">
        <f t="shared" si="27"/>
        <v>104.48521874231483</v>
      </c>
      <c r="E127" s="169">
        <f t="shared" si="28"/>
        <v>39.17171472698716</v>
      </c>
      <c r="F127" s="141">
        <f t="shared" si="30"/>
        <v>11.764635443969468</v>
      </c>
    </row>
    <row r="128" spans="1:6" ht="12.75">
      <c r="A128" s="151">
        <v>8</v>
      </c>
      <c r="B128" s="138">
        <f t="shared" si="29"/>
        <v>720.921665080698</v>
      </c>
      <c r="C128" s="137">
        <f t="shared" si="26"/>
        <v>-60.71798681566449</v>
      </c>
      <c r="D128" s="137">
        <f t="shared" si="27"/>
        <v>108.15329519350173</v>
      </c>
      <c r="E128" s="169">
        <f t="shared" si="28"/>
        <v>32.53144243524388</v>
      </c>
      <c r="F128" s="141">
        <f t="shared" si="30"/>
        <v>9.77032951926021</v>
      </c>
    </row>
    <row r="129" spans="1:6" ht="12.75">
      <c r="A129" s="151">
        <v>9</v>
      </c>
      <c r="B129" s="138">
        <f t="shared" si="29"/>
        <v>823.9104743779405</v>
      </c>
      <c r="C129" s="137">
        <f t="shared" si="26"/>
        <v>-86.53484207504516</v>
      </c>
      <c r="D129" s="137">
        <f t="shared" si="27"/>
        <v>104.06506554882039</v>
      </c>
      <c r="E129" s="169">
        <f t="shared" si="28"/>
        <v>39.76770260384539</v>
      </c>
      <c r="F129" s="141">
        <f t="shared" si="30"/>
        <v>11.943631440165463</v>
      </c>
    </row>
    <row r="130" spans="1:6" ht="12.75">
      <c r="A130" s="215">
        <v>10</v>
      </c>
      <c r="B130" s="181">
        <f aca="true" t="shared" si="31" ref="B130:B137">B129+$B$39</f>
        <v>926.8992836751831</v>
      </c>
      <c r="C130" s="182">
        <f t="shared" si="26"/>
        <v>-112.35169733442581</v>
      </c>
      <c r="D130" s="248">
        <f t="shared" si="27"/>
        <v>93.33655571173037</v>
      </c>
      <c r="E130" s="183">
        <f t="shared" si="28"/>
        <v>47.94500456214249</v>
      </c>
      <c r="F130" s="213">
        <f t="shared" si="30"/>
        <v>14.399561110978276</v>
      </c>
    </row>
    <row r="131" spans="1:6" ht="12.75">
      <c r="A131" s="215">
        <v>11</v>
      </c>
      <c r="B131" s="181">
        <f t="shared" si="31"/>
        <v>1029.8880929724257</v>
      </c>
      <c r="C131" s="182">
        <f t="shared" si="26"/>
        <v>-138.16855259380645</v>
      </c>
      <c r="D131" s="248">
        <f t="shared" si="27"/>
        <v>78.11116870655204</v>
      </c>
      <c r="E131" s="183">
        <f t="shared" si="28"/>
        <v>42.44305209371925</v>
      </c>
      <c r="F131" s="213">
        <f t="shared" si="30"/>
        <v>12.747132426858073</v>
      </c>
    </row>
    <row r="132" spans="1:6" ht="12.75">
      <c r="A132" s="215">
        <v>12</v>
      </c>
      <c r="B132" s="181">
        <f t="shared" si="31"/>
        <v>1132.8769022696683</v>
      </c>
      <c r="C132" s="182">
        <f t="shared" si="26"/>
        <v>-163.9854078531871</v>
      </c>
      <c r="D132" s="248">
        <f t="shared" si="27"/>
        <v>60.20636776267283</v>
      </c>
      <c r="E132" s="183">
        <f t="shared" si="28"/>
        <v>0</v>
      </c>
      <c r="F132" s="213">
        <f t="shared" si="30"/>
        <v>0</v>
      </c>
    </row>
    <row r="133" spans="1:6" ht="12.75">
      <c r="A133" s="193">
        <v>13</v>
      </c>
      <c r="B133" s="138">
        <f t="shared" si="31"/>
        <v>1235.865711566911</v>
      </c>
      <c r="C133" s="137">
        <f t="shared" si="26"/>
        <v>-189.80226311256774</v>
      </c>
      <c r="D133" s="137">
        <f t="shared" si="27"/>
        <v>40.85833677263976</v>
      </c>
      <c r="E133" s="169">
        <f t="shared" si="28"/>
        <v>0</v>
      </c>
      <c r="F133" s="141">
        <f t="shared" si="30"/>
        <v>0</v>
      </c>
    </row>
    <row r="134" spans="1:6" ht="12.75">
      <c r="A134" s="193">
        <v>14</v>
      </c>
      <c r="B134" s="138">
        <f t="shared" si="31"/>
        <v>1338.8545208641535</v>
      </c>
      <c r="C134" s="137">
        <f t="shared" si="26"/>
        <v>-215.6191183719484</v>
      </c>
      <c r="D134" s="137">
        <f t="shared" si="27"/>
        <v>21.159753709016204</v>
      </c>
      <c r="E134" s="169">
        <f t="shared" si="28"/>
        <v>0</v>
      </c>
      <c r="F134" s="141">
        <f t="shared" si="30"/>
        <v>0</v>
      </c>
    </row>
    <row r="135" spans="1:6" ht="12.75">
      <c r="A135" s="193">
        <v>15</v>
      </c>
      <c r="B135" s="138">
        <f t="shared" si="31"/>
        <v>1441.8433301613961</v>
      </c>
      <c r="C135" s="137">
        <f t="shared" si="26"/>
        <v>-241.43597363132903</v>
      </c>
      <c r="D135" s="137">
        <f t="shared" si="27"/>
        <v>7.929011707640095</v>
      </c>
      <c r="E135" s="169">
        <f t="shared" si="28"/>
        <v>0</v>
      </c>
      <c r="F135" s="141">
        <f t="shared" si="30"/>
        <v>0</v>
      </c>
    </row>
    <row r="136" spans="1:6" ht="12.75">
      <c r="A136" s="215">
        <v>16</v>
      </c>
      <c r="B136" s="181">
        <f t="shared" si="31"/>
        <v>1544.8321394586387</v>
      </c>
      <c r="C136" s="182">
        <f t="shared" si="26"/>
        <v>-267.25282889070974</v>
      </c>
      <c r="D136" s="248">
        <f t="shared" si="27"/>
        <v>23.311717382739754</v>
      </c>
      <c r="E136" s="183">
        <f t="shared" si="28"/>
        <v>0</v>
      </c>
      <c r="F136" s="213">
        <f t="shared" si="30"/>
        <v>0</v>
      </c>
    </row>
    <row r="137" spans="1:6" ht="12.75">
      <c r="A137" s="216">
        <v>17</v>
      </c>
      <c r="B137" s="187">
        <f t="shared" si="31"/>
        <v>1647.8209487558813</v>
      </c>
      <c r="C137" s="188">
        <f t="shared" si="26"/>
        <v>-293.0696841500904</v>
      </c>
      <c r="D137" s="249">
        <f t="shared" si="27"/>
        <v>43.05135359036585</v>
      </c>
      <c r="E137" s="189">
        <f t="shared" si="28"/>
        <v>0</v>
      </c>
      <c r="F137" s="214">
        <f t="shared" si="30"/>
        <v>0</v>
      </c>
    </row>
    <row r="138" spans="1:6" ht="25.5">
      <c r="A138" s="227"/>
      <c r="B138" s="228"/>
      <c r="C138" s="232" t="s">
        <v>86</v>
      </c>
      <c r="D138" s="235">
        <f>D119+Figure!B18</f>
        <v>40</v>
      </c>
      <c r="E138" s="228"/>
      <c r="F138" s="229"/>
    </row>
    <row r="139" spans="1:6" ht="25.5">
      <c r="A139" s="147" t="s">
        <v>54</v>
      </c>
      <c r="B139" s="148" t="s">
        <v>62</v>
      </c>
      <c r="C139" s="149" t="s">
        <v>63</v>
      </c>
      <c r="D139" s="150" t="s">
        <v>82</v>
      </c>
      <c r="E139" s="168" t="s">
        <v>83</v>
      </c>
      <c r="F139" s="170" t="s">
        <v>64</v>
      </c>
    </row>
    <row r="140" spans="1:6" ht="12.75">
      <c r="A140" s="151">
        <v>1</v>
      </c>
      <c r="B140" s="136">
        <v>0</v>
      </c>
      <c r="C140" s="137">
        <f aca="true" t="shared" si="32" ref="C140:C156">$B$17+$B$23*B140</f>
        <v>120</v>
      </c>
      <c r="D140" s="137">
        <f aca="true" t="shared" si="33" ref="D140:D156">deg*ACOS(SIN($B$24/deg)*SIN(($B$18+$D$138)/deg)+COS($B$24/deg)*COS(($B$18+$D$138)/deg)*COS((C140-$B$19)/deg))</f>
        <v>0.15637779721469738</v>
      </c>
      <c r="E140" s="169">
        <f aca="true" t="shared" si="34" ref="E140:E156">IF(OR(((COS($B$42/deg)-COS($B$27/deg)*COS(D140/deg))/(SIN($B$27/deg)*SIN(D140/deg)))&gt;1,((COS($B$42/deg)-COS($B$27/deg)*COS(D140/deg))/(SIN($B$27/deg)*SIN(D140/deg)))&lt;-1),0,2*deg*ACOS((COS($B$42/deg)-COS($B$27/deg)*COS(D140/deg))/(SIN($B$27/deg)*SIN(D140/deg))))</f>
        <v>0</v>
      </c>
      <c r="F140" s="141">
        <f>E140/$B$26</f>
        <v>0</v>
      </c>
    </row>
    <row r="141" spans="1:6" ht="12.75">
      <c r="A141" s="151">
        <v>2</v>
      </c>
      <c r="B141" s="138">
        <f aca="true" t="shared" si="35" ref="B141:B148">B140+$B$39</f>
        <v>102.98880929724255</v>
      </c>
      <c r="C141" s="137">
        <f t="shared" si="32"/>
        <v>94.18314474061935</v>
      </c>
      <c r="D141" s="137">
        <f t="shared" si="33"/>
        <v>19.730349442541346</v>
      </c>
      <c r="E141" s="169">
        <f t="shared" si="34"/>
        <v>0</v>
      </c>
      <c r="F141" s="141">
        <f aca="true" t="shared" si="36" ref="F141:F156">E141/$B$26</f>
        <v>0</v>
      </c>
    </row>
    <row r="142" spans="1:6" ht="12.75">
      <c r="A142" s="151">
        <v>3</v>
      </c>
      <c r="B142" s="138">
        <f t="shared" si="35"/>
        <v>205.9776185944851</v>
      </c>
      <c r="C142" s="137">
        <f t="shared" si="32"/>
        <v>68.36628948123871</v>
      </c>
      <c r="D142" s="137">
        <f t="shared" si="33"/>
        <v>39.02265313992109</v>
      </c>
      <c r="E142" s="169">
        <f t="shared" si="34"/>
        <v>0</v>
      </c>
      <c r="F142" s="141">
        <f t="shared" si="36"/>
        <v>0</v>
      </c>
    </row>
    <row r="143" spans="1:6" ht="12.75">
      <c r="A143" s="180">
        <v>4</v>
      </c>
      <c r="B143" s="181">
        <f t="shared" si="35"/>
        <v>308.9664278917277</v>
      </c>
      <c r="C143" s="182">
        <f t="shared" si="32"/>
        <v>42.54943422185808</v>
      </c>
      <c r="D143" s="248">
        <f t="shared" si="33"/>
        <v>57.34166602162606</v>
      </c>
      <c r="E143" s="183">
        <f t="shared" si="34"/>
        <v>0</v>
      </c>
      <c r="F143" s="213">
        <f t="shared" si="36"/>
        <v>0</v>
      </c>
    </row>
    <row r="144" spans="1:6" ht="12.75">
      <c r="A144" s="180">
        <v>5</v>
      </c>
      <c r="B144" s="181">
        <f t="shared" si="35"/>
        <v>411.9552371889702</v>
      </c>
      <c r="C144" s="182">
        <f t="shared" si="32"/>
        <v>16.732578962477433</v>
      </c>
      <c r="D144" s="248">
        <f t="shared" si="33"/>
        <v>73.92779408889399</v>
      </c>
      <c r="E144" s="183">
        <f t="shared" si="34"/>
        <v>36.64712582238342</v>
      </c>
      <c r="F144" s="213">
        <f t="shared" si="36"/>
        <v>11.006413131886434</v>
      </c>
    </row>
    <row r="145" spans="1:6" ht="12.75">
      <c r="A145" s="180">
        <v>6</v>
      </c>
      <c r="B145" s="181">
        <f t="shared" si="35"/>
        <v>514.9440464862128</v>
      </c>
      <c r="C145" s="182">
        <f t="shared" si="32"/>
        <v>-9.084276296903198</v>
      </c>
      <c r="D145" s="248">
        <f t="shared" si="33"/>
        <v>87.64942459129897</v>
      </c>
      <c r="E145" s="183">
        <f t="shared" si="34"/>
        <v>48.16472159368414</v>
      </c>
      <c r="F145" s="213">
        <f t="shared" si="36"/>
        <v>14.465549817240802</v>
      </c>
    </row>
    <row r="146" spans="1:6" ht="12.75">
      <c r="A146" s="151">
        <v>7</v>
      </c>
      <c r="B146" s="138">
        <f t="shared" si="35"/>
        <v>617.9328557834554</v>
      </c>
      <c r="C146" s="137">
        <f t="shared" si="32"/>
        <v>-34.90113155628384</v>
      </c>
      <c r="D146" s="137">
        <f t="shared" si="33"/>
        <v>96.93822273731591</v>
      </c>
      <c r="E146" s="169">
        <f t="shared" si="34"/>
        <v>46.462325329792264</v>
      </c>
      <c r="F146" s="141">
        <f t="shared" si="36"/>
        <v>13.954260700452016</v>
      </c>
    </row>
    <row r="147" spans="1:6" ht="12.75">
      <c r="A147" s="151">
        <v>8</v>
      </c>
      <c r="B147" s="138">
        <f t="shared" si="35"/>
        <v>720.921665080698</v>
      </c>
      <c r="C147" s="137">
        <f t="shared" si="32"/>
        <v>-60.71798681566449</v>
      </c>
      <c r="D147" s="137">
        <f t="shared" si="33"/>
        <v>100.15368978151079</v>
      </c>
      <c r="E147" s="169">
        <f t="shared" si="34"/>
        <v>44.146148205106144</v>
      </c>
      <c r="F147" s="141">
        <f t="shared" si="36"/>
        <v>13.258631732317502</v>
      </c>
    </row>
    <row r="148" spans="1:6" ht="12.75">
      <c r="A148" s="151">
        <v>9</v>
      </c>
      <c r="B148" s="138">
        <f t="shared" si="35"/>
        <v>823.9104743779405</v>
      </c>
      <c r="C148" s="137">
        <f t="shared" si="32"/>
        <v>-86.53484207504516</v>
      </c>
      <c r="D148" s="137">
        <f t="shared" si="33"/>
        <v>96.56784635780035</v>
      </c>
      <c r="E148" s="169">
        <f t="shared" si="34"/>
        <v>46.66616984165526</v>
      </c>
      <c r="F148" s="141">
        <f t="shared" si="36"/>
        <v>14.015482334124076</v>
      </c>
    </row>
    <row r="149" spans="1:6" ht="12.75">
      <c r="A149" s="215">
        <v>10</v>
      </c>
      <c r="B149" s="181">
        <f aca="true" t="shared" si="37" ref="B149:B156">B148+$B$39</f>
        <v>926.8992836751831</v>
      </c>
      <c r="C149" s="182">
        <f t="shared" si="32"/>
        <v>-112.35169733442581</v>
      </c>
      <c r="D149" s="248">
        <f t="shared" si="33"/>
        <v>86.98650337639906</v>
      </c>
      <c r="E149" s="183">
        <f t="shared" si="34"/>
        <v>48.02553309041728</v>
      </c>
      <c r="F149" s="213">
        <f t="shared" si="36"/>
        <v>14.423746643436969</v>
      </c>
    </row>
    <row r="150" spans="1:6" ht="12.75">
      <c r="A150" s="215">
        <v>11</v>
      </c>
      <c r="B150" s="181">
        <f t="shared" si="37"/>
        <v>1029.8880929724257</v>
      </c>
      <c r="C150" s="182">
        <f t="shared" si="32"/>
        <v>-138.16855259380645</v>
      </c>
      <c r="D150" s="248">
        <f t="shared" si="33"/>
        <v>73.06797909669197</v>
      </c>
      <c r="E150" s="183">
        <f t="shared" si="34"/>
        <v>35.07265801924717</v>
      </c>
      <c r="F150" s="213">
        <f t="shared" si="36"/>
        <v>10.533545404464634</v>
      </c>
    </row>
    <row r="151" spans="1:6" ht="12.75">
      <c r="A151" s="215">
        <v>12</v>
      </c>
      <c r="B151" s="181">
        <f t="shared" si="37"/>
        <v>1132.8769022696683</v>
      </c>
      <c r="C151" s="182">
        <f t="shared" si="32"/>
        <v>-163.9854078531871</v>
      </c>
      <c r="D151" s="248">
        <f t="shared" si="33"/>
        <v>56.35983548882591</v>
      </c>
      <c r="E151" s="183">
        <f t="shared" si="34"/>
        <v>0</v>
      </c>
      <c r="F151" s="213">
        <f t="shared" si="36"/>
        <v>0</v>
      </c>
    </row>
    <row r="152" spans="1:6" ht="12.75">
      <c r="A152" s="193">
        <v>13</v>
      </c>
      <c r="B152" s="138">
        <f t="shared" si="37"/>
        <v>1235.865711566911</v>
      </c>
      <c r="C152" s="137">
        <f t="shared" si="32"/>
        <v>-189.80226311256774</v>
      </c>
      <c r="D152" s="137">
        <f t="shared" si="33"/>
        <v>37.96944647381114</v>
      </c>
      <c r="E152" s="169">
        <f t="shared" si="34"/>
        <v>0</v>
      </c>
      <c r="F152" s="141">
        <f t="shared" si="36"/>
        <v>0</v>
      </c>
    </row>
    <row r="153" spans="1:6" ht="12.75">
      <c r="A153" s="193">
        <v>14</v>
      </c>
      <c r="B153" s="138">
        <f t="shared" si="37"/>
        <v>1338.8545208641535</v>
      </c>
      <c r="C153" s="137">
        <f t="shared" si="32"/>
        <v>-215.6191183719484</v>
      </c>
      <c r="D153" s="137">
        <f t="shared" si="33"/>
        <v>18.640179406452084</v>
      </c>
      <c r="E153" s="169">
        <f t="shared" si="34"/>
        <v>0</v>
      </c>
      <c r="F153" s="141">
        <f t="shared" si="36"/>
        <v>0</v>
      </c>
    </row>
    <row r="154" spans="1:6" ht="12.75">
      <c r="A154" s="193">
        <v>15</v>
      </c>
      <c r="B154" s="138">
        <f t="shared" si="37"/>
        <v>1441.8433301613961</v>
      </c>
      <c r="C154" s="137">
        <f t="shared" si="32"/>
        <v>-241.43597363132903</v>
      </c>
      <c r="D154" s="137">
        <f t="shared" si="33"/>
        <v>1.1123125572988286</v>
      </c>
      <c r="E154" s="169">
        <f t="shared" si="34"/>
        <v>0</v>
      </c>
      <c r="F154" s="141">
        <f t="shared" si="36"/>
        <v>0</v>
      </c>
    </row>
    <row r="155" spans="1:6" ht="12.75">
      <c r="A155" s="215">
        <v>16</v>
      </c>
      <c r="B155" s="181">
        <f t="shared" si="37"/>
        <v>1544.8321394586387</v>
      </c>
      <c r="C155" s="182">
        <f t="shared" si="32"/>
        <v>-267.25282889070974</v>
      </c>
      <c r="D155" s="248">
        <f t="shared" si="33"/>
        <v>20.819195567171448</v>
      </c>
      <c r="E155" s="183">
        <f t="shared" si="34"/>
        <v>0</v>
      </c>
      <c r="F155" s="213">
        <f t="shared" si="36"/>
        <v>0</v>
      </c>
    </row>
    <row r="156" spans="1:6" ht="12.75">
      <c r="A156" s="216">
        <v>17</v>
      </c>
      <c r="B156" s="187">
        <f t="shared" si="37"/>
        <v>1647.8209487558813</v>
      </c>
      <c r="C156" s="188">
        <f t="shared" si="32"/>
        <v>-293.0696841500904</v>
      </c>
      <c r="D156" s="249">
        <f t="shared" si="33"/>
        <v>40.07290450891264</v>
      </c>
      <c r="E156" s="189">
        <f t="shared" si="34"/>
        <v>0</v>
      </c>
      <c r="F156" s="214">
        <f t="shared" si="36"/>
        <v>0</v>
      </c>
    </row>
    <row r="157" spans="1:6" ht="25.5">
      <c r="A157" s="227"/>
      <c r="B157" s="228"/>
      <c r="C157" s="232" t="s">
        <v>86</v>
      </c>
      <c r="D157" s="235">
        <f>D138+Figure!B18</f>
        <v>48</v>
      </c>
      <c r="E157" s="228"/>
      <c r="F157" s="229"/>
    </row>
    <row r="158" spans="1:6" ht="25.5">
      <c r="A158" s="147" t="s">
        <v>54</v>
      </c>
      <c r="B158" s="148" t="s">
        <v>62</v>
      </c>
      <c r="C158" s="149" t="s">
        <v>63</v>
      </c>
      <c r="D158" s="150" t="s">
        <v>82</v>
      </c>
      <c r="E158" s="168" t="s">
        <v>83</v>
      </c>
      <c r="F158" s="170" t="s">
        <v>64</v>
      </c>
    </row>
    <row r="159" spans="1:6" ht="12.75">
      <c r="A159" s="151">
        <v>1</v>
      </c>
      <c r="B159" s="136">
        <v>0</v>
      </c>
      <c r="C159" s="137">
        <f aca="true" t="shared" si="38" ref="C159:C175">$B$17+$B$23*B159</f>
        <v>120</v>
      </c>
      <c r="D159" s="245">
        <f aca="true" t="shared" si="39" ref="D159:D175">deg*ACOS(SIN($B$24/deg)*SIN(($B$18+$D$157)/deg)+COS($B$24/deg)*COS(($B$18+$D$157)/deg)*COS((C159-$B$19)/deg))</f>
        <v>8.156377797214976</v>
      </c>
      <c r="E159" s="169">
        <f aca="true" t="shared" si="40" ref="E159:E175">IF(OR(((COS($B$42/deg)-COS($B$27/deg)*COS(D159/deg))/(SIN($B$27/deg)*SIN(D159/deg)))&gt;1,((COS($B$42/deg)-COS($B$27/deg)*COS(D159/deg))/(SIN($B$27/deg)*SIN(D159/deg)))&lt;-1),0,2*deg*ACOS((COS($B$42/deg)-COS($B$27/deg)*COS(D159/deg))/(SIN($B$27/deg)*SIN(D159/deg))))</f>
        <v>0</v>
      </c>
      <c r="F159" s="141">
        <f>E159/$B$26</f>
        <v>0</v>
      </c>
    </row>
    <row r="160" spans="1:6" ht="12.75">
      <c r="A160" s="151">
        <v>2</v>
      </c>
      <c r="B160" s="138">
        <f aca="true" t="shared" si="41" ref="B160:B167">B159+$B$39</f>
        <v>102.98880929724255</v>
      </c>
      <c r="C160" s="137">
        <f t="shared" si="38"/>
        <v>94.18314474061935</v>
      </c>
      <c r="D160" s="137">
        <f t="shared" si="39"/>
        <v>20.181090927589807</v>
      </c>
      <c r="E160" s="169">
        <f t="shared" si="40"/>
        <v>0</v>
      </c>
      <c r="F160" s="141">
        <f aca="true" t="shared" si="42" ref="F160:F175">E160/$B$26</f>
        <v>0</v>
      </c>
    </row>
    <row r="161" spans="1:6" ht="12.75">
      <c r="A161" s="151">
        <v>3</v>
      </c>
      <c r="B161" s="138">
        <f t="shared" si="41"/>
        <v>205.9776185944851</v>
      </c>
      <c r="C161" s="137">
        <f t="shared" si="38"/>
        <v>68.36628948123871</v>
      </c>
      <c r="D161" s="137">
        <f t="shared" si="39"/>
        <v>37.34379267428566</v>
      </c>
      <c r="E161" s="169">
        <f t="shared" si="40"/>
        <v>0</v>
      </c>
      <c r="F161" s="141">
        <f t="shared" si="42"/>
        <v>0</v>
      </c>
    </row>
    <row r="162" spans="1:6" ht="12.75">
      <c r="A162" s="180">
        <v>4</v>
      </c>
      <c r="B162" s="181">
        <f t="shared" si="41"/>
        <v>308.9664278917277</v>
      </c>
      <c r="C162" s="182">
        <f t="shared" si="38"/>
        <v>42.54943422185808</v>
      </c>
      <c r="D162" s="248">
        <f t="shared" si="39"/>
        <v>54.00188902845645</v>
      </c>
      <c r="E162" s="183">
        <f t="shared" si="40"/>
        <v>0</v>
      </c>
      <c r="F162" s="213">
        <f t="shared" si="42"/>
        <v>0</v>
      </c>
    </row>
    <row r="163" spans="1:6" ht="12.75">
      <c r="A163" s="180">
        <v>5</v>
      </c>
      <c r="B163" s="181">
        <f t="shared" si="41"/>
        <v>411.9552371889702</v>
      </c>
      <c r="C163" s="182">
        <f t="shared" si="38"/>
        <v>16.732578962477433</v>
      </c>
      <c r="D163" s="248">
        <f t="shared" si="39"/>
        <v>69.0088530158937</v>
      </c>
      <c r="E163" s="183">
        <f t="shared" si="40"/>
        <v>24.607519432663963</v>
      </c>
      <c r="F163" s="213">
        <f t="shared" si="42"/>
        <v>7.390498407419406</v>
      </c>
    </row>
    <row r="164" spans="1:6" ht="12.75">
      <c r="A164" s="180">
        <v>6</v>
      </c>
      <c r="B164" s="181">
        <f t="shared" si="41"/>
        <v>514.9440464862128</v>
      </c>
      <c r="C164" s="182">
        <f t="shared" si="38"/>
        <v>-9.084276296903198</v>
      </c>
      <c r="D164" s="248">
        <f t="shared" si="39"/>
        <v>81.24411779100939</v>
      </c>
      <c r="E164" s="183">
        <f t="shared" si="40"/>
        <v>45.27818531689628</v>
      </c>
      <c r="F164" s="213">
        <f t="shared" si="42"/>
        <v>13.598622054979575</v>
      </c>
    </row>
    <row r="165" spans="1:6" ht="12.75">
      <c r="A165" s="151">
        <v>7</v>
      </c>
      <c r="B165" s="138">
        <f t="shared" si="41"/>
        <v>617.9328557834554</v>
      </c>
      <c r="C165" s="137">
        <f t="shared" si="38"/>
        <v>-34.90113155628384</v>
      </c>
      <c r="D165" s="137">
        <f t="shared" si="39"/>
        <v>89.37642268826691</v>
      </c>
      <c r="E165" s="169">
        <f t="shared" si="40"/>
        <v>48.36488484007654</v>
      </c>
      <c r="F165" s="141">
        <f t="shared" si="42"/>
        <v>14.525665838188583</v>
      </c>
    </row>
    <row r="166" spans="1:6" ht="12.75">
      <c r="A166" s="151">
        <v>8</v>
      </c>
      <c r="B166" s="138">
        <f t="shared" si="41"/>
        <v>720.921665080698</v>
      </c>
      <c r="C166" s="137">
        <f t="shared" si="38"/>
        <v>-60.71798681566449</v>
      </c>
      <c r="D166" s="137">
        <f t="shared" si="39"/>
        <v>92.1540649940955</v>
      </c>
      <c r="E166" s="169">
        <f t="shared" si="40"/>
        <v>48.19929246817022</v>
      </c>
      <c r="F166" s="141">
        <f t="shared" si="42"/>
        <v>14.475932659507029</v>
      </c>
    </row>
    <row r="167" spans="1:6" ht="12.75">
      <c r="A167" s="151">
        <v>9</v>
      </c>
      <c r="B167" s="138">
        <f t="shared" si="41"/>
        <v>823.9104743779405</v>
      </c>
      <c r="C167" s="137">
        <f t="shared" si="38"/>
        <v>-86.53484207504516</v>
      </c>
      <c r="D167" s="137">
        <f t="shared" si="39"/>
        <v>89.05511791994246</v>
      </c>
      <c r="E167" s="169">
        <f t="shared" si="40"/>
        <v>48.345291829063</v>
      </c>
      <c r="F167" s="141">
        <f t="shared" si="42"/>
        <v>14.519781371975386</v>
      </c>
    </row>
    <row r="168" spans="1:6" ht="12.75">
      <c r="A168" s="215">
        <v>10</v>
      </c>
      <c r="B168" s="181">
        <f aca="true" t="shared" si="43" ref="B168:B175">B167+$B$39</f>
        <v>926.8992836751831</v>
      </c>
      <c r="C168" s="182">
        <f t="shared" si="38"/>
        <v>-112.35169733442581</v>
      </c>
      <c r="D168" s="248">
        <f t="shared" si="39"/>
        <v>80.65840990810861</v>
      </c>
      <c r="E168" s="183">
        <f t="shared" si="40"/>
        <v>44.82838868371857</v>
      </c>
      <c r="F168" s="213">
        <f t="shared" si="42"/>
        <v>13.46353240036165</v>
      </c>
    </row>
    <row r="169" spans="1:6" ht="12.75">
      <c r="A169" s="215">
        <v>11</v>
      </c>
      <c r="B169" s="181">
        <f t="shared" si="43"/>
        <v>1029.8880929724257</v>
      </c>
      <c r="C169" s="182">
        <f t="shared" si="38"/>
        <v>-138.16855259380645</v>
      </c>
      <c r="D169" s="248">
        <f t="shared" si="39"/>
        <v>68.2355463427019</v>
      </c>
      <c r="E169" s="183">
        <f t="shared" si="40"/>
        <v>21.648849955046405</v>
      </c>
      <c r="F169" s="213">
        <f t="shared" si="42"/>
        <v>6.501906523046532</v>
      </c>
    </row>
    <row r="170" spans="1:6" ht="12.75">
      <c r="A170" s="215">
        <v>12</v>
      </c>
      <c r="B170" s="181">
        <f t="shared" si="43"/>
        <v>1132.8769022696683</v>
      </c>
      <c r="C170" s="182">
        <f t="shared" si="38"/>
        <v>-163.9854078531871</v>
      </c>
      <c r="D170" s="248">
        <f t="shared" si="39"/>
        <v>53.10928882160187</v>
      </c>
      <c r="E170" s="183">
        <f t="shared" si="40"/>
        <v>0</v>
      </c>
      <c r="F170" s="213">
        <f t="shared" si="42"/>
        <v>0</v>
      </c>
    </row>
    <row r="171" spans="1:6" ht="12.75">
      <c r="A171" s="193">
        <v>13</v>
      </c>
      <c r="B171" s="138">
        <f t="shared" si="43"/>
        <v>1235.865711566911</v>
      </c>
      <c r="C171" s="137">
        <f t="shared" si="38"/>
        <v>-189.80226311256774</v>
      </c>
      <c r="D171" s="137">
        <f t="shared" si="39"/>
        <v>36.38931915867601</v>
      </c>
      <c r="E171" s="169">
        <f t="shared" si="40"/>
        <v>0</v>
      </c>
      <c r="F171" s="141">
        <f t="shared" si="42"/>
        <v>0</v>
      </c>
    </row>
    <row r="172" spans="1:6" ht="12.75">
      <c r="A172" s="193">
        <v>14</v>
      </c>
      <c r="B172" s="138">
        <f t="shared" si="43"/>
        <v>1338.8545208641535</v>
      </c>
      <c r="C172" s="137">
        <f t="shared" si="38"/>
        <v>-215.6191183719484</v>
      </c>
      <c r="D172" s="137">
        <f t="shared" si="39"/>
        <v>19.253558529997107</v>
      </c>
      <c r="E172" s="169">
        <f t="shared" si="40"/>
        <v>0</v>
      </c>
      <c r="F172" s="141">
        <f t="shared" si="42"/>
        <v>0</v>
      </c>
    </row>
    <row r="173" spans="1:6" ht="12.75">
      <c r="A173" s="193">
        <v>15</v>
      </c>
      <c r="B173" s="138">
        <f t="shared" si="43"/>
        <v>1441.8433301613961</v>
      </c>
      <c r="C173" s="137">
        <f t="shared" si="38"/>
        <v>-241.43597363132903</v>
      </c>
      <c r="D173" s="137">
        <f t="shared" si="39"/>
        <v>8.221279292482363</v>
      </c>
      <c r="E173" s="169">
        <f t="shared" si="40"/>
        <v>0</v>
      </c>
      <c r="F173" s="141">
        <f t="shared" si="42"/>
        <v>0</v>
      </c>
    </row>
    <row r="174" spans="1:6" ht="12.75">
      <c r="A174" s="215">
        <v>16</v>
      </c>
      <c r="B174" s="181">
        <f t="shared" si="43"/>
        <v>1544.8321394586387</v>
      </c>
      <c r="C174" s="182">
        <f t="shared" si="38"/>
        <v>-267.25282889070974</v>
      </c>
      <c r="D174" s="248">
        <f t="shared" si="39"/>
        <v>21.115703017900533</v>
      </c>
      <c r="E174" s="183">
        <f t="shared" si="40"/>
        <v>0</v>
      </c>
      <c r="F174" s="213">
        <f t="shared" si="42"/>
        <v>0</v>
      </c>
    </row>
    <row r="175" spans="1:6" ht="12.75">
      <c r="A175" s="216">
        <v>17</v>
      </c>
      <c r="B175" s="187">
        <f t="shared" si="43"/>
        <v>1647.8209487558813</v>
      </c>
      <c r="C175" s="188">
        <f t="shared" si="38"/>
        <v>-293.0696841500904</v>
      </c>
      <c r="D175" s="249">
        <f t="shared" si="39"/>
        <v>38.296386427621684</v>
      </c>
      <c r="E175" s="189">
        <f t="shared" si="40"/>
        <v>0</v>
      </c>
      <c r="F175" s="214">
        <f t="shared" si="42"/>
        <v>0</v>
      </c>
    </row>
    <row r="176" spans="1:6" ht="25.5">
      <c r="A176" s="227"/>
      <c r="B176" s="228"/>
      <c r="C176" s="232" t="s">
        <v>86</v>
      </c>
      <c r="D176" s="235">
        <f>D157+Figure!B18</f>
        <v>56</v>
      </c>
      <c r="E176" s="228"/>
      <c r="F176" s="229"/>
    </row>
    <row r="177" spans="1:6" ht="25.5">
      <c r="A177" s="147" t="s">
        <v>54</v>
      </c>
      <c r="B177" s="148" t="s">
        <v>62</v>
      </c>
      <c r="C177" s="149" t="s">
        <v>63</v>
      </c>
      <c r="D177" s="150" t="s">
        <v>82</v>
      </c>
      <c r="E177" s="168" t="s">
        <v>83</v>
      </c>
      <c r="F177" s="170" t="s">
        <v>64</v>
      </c>
    </row>
    <row r="178" spans="1:6" ht="12.75">
      <c r="A178" s="151">
        <v>1</v>
      </c>
      <c r="B178" s="136">
        <v>0</v>
      </c>
      <c r="C178" s="137">
        <f aca="true" t="shared" si="44" ref="C178:C194">$B$17+$B$23*B178</f>
        <v>120</v>
      </c>
      <c r="D178" s="245">
        <f aca="true" t="shared" si="45" ref="D178:D194">deg*ACOS(SIN($B$24/deg)*SIN(($B$18+$D$176)/deg)+COS($B$24/deg)*COS(($B$18+$D$176)/deg)*COS((C178-$B$19)/deg))</f>
        <v>16.156377797214912</v>
      </c>
      <c r="E178" s="169">
        <f aca="true" t="shared" si="46" ref="E178:E194">IF(OR(((COS($B$42/deg)-COS($B$27/deg)*COS(D178/deg))/(SIN($B$27/deg)*SIN(D178/deg)))&gt;1,((COS($B$42/deg)-COS($B$27/deg)*COS(D178/deg))/(SIN($B$27/deg)*SIN(D178/deg)))&lt;-1),0,2*deg*ACOS((COS($B$42/deg)-COS($B$27/deg)*COS(D178/deg))/(SIN($B$27/deg)*SIN(D178/deg))))</f>
        <v>0</v>
      </c>
      <c r="F178" s="141">
        <f>E178/$B$26</f>
        <v>0</v>
      </c>
    </row>
    <row r="179" spans="1:6" ht="12.75">
      <c r="A179" s="151">
        <v>2</v>
      </c>
      <c r="B179" s="138">
        <f aca="true" t="shared" si="47" ref="B179:B186">B178+$B$39</f>
        <v>102.98880929724255</v>
      </c>
      <c r="C179" s="137">
        <f t="shared" si="44"/>
        <v>94.18314474061935</v>
      </c>
      <c r="D179" s="137">
        <f t="shared" si="45"/>
        <v>23.4146444143827</v>
      </c>
      <c r="E179" s="169">
        <f t="shared" si="46"/>
        <v>0</v>
      </c>
      <c r="F179" s="141">
        <f aca="true" t="shared" si="48" ref="F179:F194">E179/$B$26</f>
        <v>0</v>
      </c>
    </row>
    <row r="180" spans="1:6" ht="12.75">
      <c r="A180" s="151">
        <v>3</v>
      </c>
      <c r="B180" s="138">
        <f t="shared" si="47"/>
        <v>205.9776185944851</v>
      </c>
      <c r="C180" s="137">
        <f t="shared" si="44"/>
        <v>68.36628948123871</v>
      </c>
      <c r="D180" s="137">
        <f t="shared" si="45"/>
        <v>37.093809329993825</v>
      </c>
      <c r="E180" s="169">
        <f t="shared" si="46"/>
        <v>0</v>
      </c>
      <c r="F180" s="141">
        <f t="shared" si="48"/>
        <v>0</v>
      </c>
    </row>
    <row r="181" spans="1:6" ht="12.75">
      <c r="A181" s="180">
        <v>4</v>
      </c>
      <c r="B181" s="181">
        <f t="shared" si="47"/>
        <v>308.9664278917277</v>
      </c>
      <c r="C181" s="182">
        <f t="shared" si="44"/>
        <v>42.54943422185808</v>
      </c>
      <c r="D181" s="248">
        <f t="shared" si="45"/>
        <v>51.35825169495504</v>
      </c>
      <c r="E181" s="183">
        <f t="shared" si="46"/>
        <v>0</v>
      </c>
      <c r="F181" s="213">
        <f t="shared" si="48"/>
        <v>0</v>
      </c>
    </row>
    <row r="182" spans="1:6" ht="12.75">
      <c r="A182" s="180">
        <v>5</v>
      </c>
      <c r="B182" s="181">
        <f t="shared" si="47"/>
        <v>411.9552371889702</v>
      </c>
      <c r="C182" s="182">
        <f t="shared" si="44"/>
        <v>16.732578962477433</v>
      </c>
      <c r="D182" s="248">
        <f t="shared" si="45"/>
        <v>64.36564464821987</v>
      </c>
      <c r="E182" s="183">
        <f t="shared" si="46"/>
        <v>0</v>
      </c>
      <c r="F182" s="213">
        <f t="shared" si="48"/>
        <v>0</v>
      </c>
    </row>
    <row r="183" spans="1:6" ht="12.75">
      <c r="A183" s="180">
        <v>6</v>
      </c>
      <c r="B183" s="181">
        <f t="shared" si="47"/>
        <v>514.9440464862128</v>
      </c>
      <c r="C183" s="182">
        <f t="shared" si="44"/>
        <v>-9.084276296903198</v>
      </c>
      <c r="D183" s="248">
        <f t="shared" si="45"/>
        <v>74.90186676879308</v>
      </c>
      <c r="E183" s="183">
        <f t="shared" si="46"/>
        <v>38.25026664634436</v>
      </c>
      <c r="F183" s="213">
        <f t="shared" si="48"/>
        <v>11.487892369920695</v>
      </c>
    </row>
    <row r="184" spans="1:6" ht="12.75">
      <c r="A184" s="151">
        <v>7</v>
      </c>
      <c r="B184" s="138">
        <f t="shared" si="47"/>
        <v>617.9328557834554</v>
      </c>
      <c r="C184" s="137">
        <f t="shared" si="44"/>
        <v>-34.90113155628384</v>
      </c>
      <c r="D184" s="137">
        <f t="shared" si="45"/>
        <v>81.81592724157034</v>
      </c>
      <c r="E184" s="169">
        <f t="shared" si="46"/>
        <v>45.68449889937398</v>
      </c>
      <c r="F184" s="141">
        <f t="shared" si="48"/>
        <v>13.720652229229009</v>
      </c>
    </row>
    <row r="185" spans="1:6" ht="12.75">
      <c r="A185" s="151">
        <v>8</v>
      </c>
      <c r="B185" s="138">
        <f t="shared" si="47"/>
        <v>720.921665080698</v>
      </c>
      <c r="C185" s="137">
        <f t="shared" si="44"/>
        <v>-60.71798681566449</v>
      </c>
      <c r="D185" s="137">
        <f t="shared" si="45"/>
        <v>84.15443626073869</v>
      </c>
      <c r="E185" s="169">
        <f t="shared" si="46"/>
        <v>47.028801101105145</v>
      </c>
      <c r="F185" s="141">
        <f t="shared" si="48"/>
        <v>14.124393179558071</v>
      </c>
    </row>
    <row r="186" spans="1:6" ht="12.75">
      <c r="A186" s="151">
        <v>9</v>
      </c>
      <c r="B186" s="138">
        <f t="shared" si="47"/>
        <v>823.9104743779405</v>
      </c>
      <c r="C186" s="137">
        <f t="shared" si="44"/>
        <v>-86.53484207504516</v>
      </c>
      <c r="D186" s="137">
        <f t="shared" si="45"/>
        <v>81.5445822411556</v>
      </c>
      <c r="E186" s="169">
        <f t="shared" si="46"/>
        <v>45.49566065907882</v>
      </c>
      <c r="F186" s="141">
        <f t="shared" si="48"/>
        <v>13.663937503554193</v>
      </c>
    </row>
    <row r="187" spans="1:6" ht="12.75">
      <c r="A187" s="215">
        <v>10</v>
      </c>
      <c r="B187" s="181">
        <f aca="true" t="shared" si="49" ref="B187:B194">B186+$B$39</f>
        <v>926.8992836751831</v>
      </c>
      <c r="C187" s="182">
        <f t="shared" si="44"/>
        <v>-112.35169733442581</v>
      </c>
      <c r="D187" s="248">
        <f t="shared" si="45"/>
        <v>74.40060361872747</v>
      </c>
      <c r="E187" s="183">
        <f t="shared" si="46"/>
        <v>37.447656326152476</v>
      </c>
      <c r="F187" s="213">
        <f t="shared" si="48"/>
        <v>11.246840430110673</v>
      </c>
    </row>
    <row r="188" spans="1:6" ht="12.75">
      <c r="A188" s="215">
        <v>11</v>
      </c>
      <c r="B188" s="181">
        <f t="shared" si="49"/>
        <v>1029.8880929724257</v>
      </c>
      <c r="C188" s="182">
        <f t="shared" si="44"/>
        <v>-138.16855259380645</v>
      </c>
      <c r="D188" s="248">
        <f t="shared" si="45"/>
        <v>63.69627077956183</v>
      </c>
      <c r="E188" s="183">
        <f t="shared" si="46"/>
        <v>0</v>
      </c>
      <c r="F188" s="213">
        <f t="shared" si="48"/>
        <v>0</v>
      </c>
    </row>
    <row r="189" spans="1:6" ht="12.75">
      <c r="A189" s="215">
        <v>12</v>
      </c>
      <c r="B189" s="181">
        <f t="shared" si="49"/>
        <v>1132.8769022696683</v>
      </c>
      <c r="C189" s="182">
        <f t="shared" si="44"/>
        <v>-163.9854078531871</v>
      </c>
      <c r="D189" s="248">
        <f t="shared" si="45"/>
        <v>50.58580948166589</v>
      </c>
      <c r="E189" s="183">
        <f t="shared" si="46"/>
        <v>0</v>
      </c>
      <c r="F189" s="213">
        <f t="shared" si="48"/>
        <v>0</v>
      </c>
    </row>
    <row r="190" spans="1:6" ht="12.75">
      <c r="A190" s="193">
        <v>13</v>
      </c>
      <c r="B190" s="138">
        <f t="shared" si="49"/>
        <v>1235.865711566911</v>
      </c>
      <c r="C190" s="137">
        <f t="shared" si="44"/>
        <v>-189.80226311256774</v>
      </c>
      <c r="D190" s="137">
        <f t="shared" si="45"/>
        <v>36.29292606835889</v>
      </c>
      <c r="E190" s="169">
        <f t="shared" si="46"/>
        <v>0</v>
      </c>
      <c r="F190" s="141">
        <f t="shared" si="48"/>
        <v>0</v>
      </c>
    </row>
    <row r="191" spans="1:6" ht="12.75">
      <c r="A191" s="193">
        <v>14</v>
      </c>
      <c r="B191" s="138">
        <f t="shared" si="49"/>
        <v>1338.8545208641535</v>
      </c>
      <c r="C191" s="137">
        <f t="shared" si="44"/>
        <v>-215.6191183719484</v>
      </c>
      <c r="D191" s="137">
        <f t="shared" si="45"/>
        <v>22.747571561906483</v>
      </c>
      <c r="E191" s="169">
        <f t="shared" si="46"/>
        <v>0</v>
      </c>
      <c r="F191" s="141">
        <f t="shared" si="48"/>
        <v>0</v>
      </c>
    </row>
    <row r="192" spans="1:6" ht="12.75">
      <c r="A192" s="193">
        <v>15</v>
      </c>
      <c r="B192" s="138">
        <f t="shared" si="49"/>
        <v>1441.8433301613961</v>
      </c>
      <c r="C192" s="137">
        <f t="shared" si="44"/>
        <v>-241.43597363132903</v>
      </c>
      <c r="D192" s="137">
        <f t="shared" si="45"/>
        <v>16.184118130258913</v>
      </c>
      <c r="E192" s="169">
        <f t="shared" si="46"/>
        <v>0</v>
      </c>
      <c r="F192" s="141">
        <f t="shared" si="48"/>
        <v>0</v>
      </c>
    </row>
    <row r="193" spans="1:6" ht="12.75">
      <c r="A193" s="215">
        <v>16</v>
      </c>
      <c r="B193" s="181">
        <f t="shared" si="49"/>
        <v>1544.8321394586387</v>
      </c>
      <c r="C193" s="182">
        <f t="shared" si="44"/>
        <v>-267.25282889070974</v>
      </c>
      <c r="D193" s="248">
        <f t="shared" si="45"/>
        <v>24.098332703167546</v>
      </c>
      <c r="E193" s="183">
        <f t="shared" si="46"/>
        <v>0</v>
      </c>
      <c r="F193" s="213">
        <f t="shared" si="48"/>
        <v>0</v>
      </c>
    </row>
    <row r="194" spans="1:6" ht="12.75">
      <c r="A194" s="216">
        <v>17</v>
      </c>
      <c r="B194" s="187">
        <f t="shared" si="49"/>
        <v>1647.8209487558813</v>
      </c>
      <c r="C194" s="188">
        <f t="shared" si="44"/>
        <v>-293.0696841500904</v>
      </c>
      <c r="D194" s="249">
        <f t="shared" si="45"/>
        <v>37.89576847447962</v>
      </c>
      <c r="E194" s="189">
        <f t="shared" si="46"/>
        <v>0</v>
      </c>
      <c r="F194" s="214">
        <f t="shared" si="48"/>
        <v>0</v>
      </c>
    </row>
    <row r="195" spans="1:6" ht="25.5">
      <c r="A195" s="227"/>
      <c r="B195" s="228"/>
      <c r="C195" s="232" t="s">
        <v>86</v>
      </c>
      <c r="D195" s="235">
        <f>D176+Figure!B18</f>
        <v>64</v>
      </c>
      <c r="E195" s="228"/>
      <c r="F195" s="229"/>
    </row>
    <row r="196" spans="1:6" ht="25.5">
      <c r="A196" s="147" t="s">
        <v>54</v>
      </c>
      <c r="B196" s="148" t="s">
        <v>62</v>
      </c>
      <c r="C196" s="149" t="s">
        <v>63</v>
      </c>
      <c r="D196" s="150" t="s">
        <v>82</v>
      </c>
      <c r="E196" s="168" t="s">
        <v>83</v>
      </c>
      <c r="F196" s="170" t="s">
        <v>64</v>
      </c>
    </row>
    <row r="197" spans="1:6" ht="12.75">
      <c r="A197" s="151">
        <v>1</v>
      </c>
      <c r="B197" s="136">
        <v>0</v>
      </c>
      <c r="C197" s="137">
        <f aca="true" t="shared" si="50" ref="C197:C213">$B$17+$B$23*B197</f>
        <v>120</v>
      </c>
      <c r="D197" s="245">
        <f aca="true" t="shared" si="51" ref="D197:D213">deg*ACOS(SIN($B$24/deg)*SIN(($B$18+$D$195)/deg)+COS($B$24/deg)*COS(($B$18+$D$195)/deg)*COS((C197-$B$19)/deg))</f>
        <v>24.15637779721491</v>
      </c>
      <c r="E197" s="169">
        <f aca="true" t="shared" si="52" ref="E197:E213">IF(OR(((COS($B$42/deg)-COS($B$27/deg)*COS(D197/deg))/(SIN($B$27/deg)*SIN(D197/deg)))&gt;1,((COS($B$42/deg)-COS($B$27/deg)*COS(D197/deg))/(SIN($B$27/deg)*SIN(D197/deg)))&lt;-1),0,2*deg*ACOS((COS($B$42/deg)-COS($B$27/deg)*COS(D197/deg))/(SIN($B$27/deg)*SIN(D197/deg))))</f>
        <v>0</v>
      </c>
      <c r="F197" s="141">
        <f>E197/$B$26</f>
        <v>0</v>
      </c>
    </row>
    <row r="198" spans="1:6" ht="12.75">
      <c r="A198" s="151">
        <v>2</v>
      </c>
      <c r="B198" s="138">
        <f aca="true" t="shared" si="53" ref="B198:B205">B197+$B$39</f>
        <v>102.98880929724255</v>
      </c>
      <c r="C198" s="137">
        <f t="shared" si="50"/>
        <v>94.18314474061935</v>
      </c>
      <c r="D198" s="137">
        <f t="shared" si="51"/>
        <v>28.497471112277776</v>
      </c>
      <c r="E198" s="169">
        <f t="shared" si="52"/>
        <v>0</v>
      </c>
      <c r="F198" s="141">
        <f aca="true" t="shared" si="54" ref="F198:F213">E198/$B$26</f>
        <v>0</v>
      </c>
    </row>
    <row r="199" spans="1:6" ht="12.75">
      <c r="A199" s="151">
        <v>3</v>
      </c>
      <c r="B199" s="138">
        <f t="shared" si="53"/>
        <v>205.9776185944851</v>
      </c>
      <c r="C199" s="137">
        <f t="shared" si="50"/>
        <v>68.36628948123871</v>
      </c>
      <c r="D199" s="137">
        <f t="shared" si="51"/>
        <v>38.30125538497314</v>
      </c>
      <c r="E199" s="169">
        <f t="shared" si="52"/>
        <v>0</v>
      </c>
      <c r="F199" s="141">
        <f t="shared" si="54"/>
        <v>0</v>
      </c>
    </row>
    <row r="200" spans="1:6" ht="12.75">
      <c r="A200" s="180">
        <v>4</v>
      </c>
      <c r="B200" s="181">
        <f t="shared" si="53"/>
        <v>308.9664278917277</v>
      </c>
      <c r="C200" s="182">
        <f t="shared" si="50"/>
        <v>42.54943422185808</v>
      </c>
      <c r="D200" s="248">
        <f t="shared" si="51"/>
        <v>49.53488123900395</v>
      </c>
      <c r="E200" s="183">
        <f t="shared" si="52"/>
        <v>0</v>
      </c>
      <c r="F200" s="213">
        <f t="shared" si="54"/>
        <v>0</v>
      </c>
    </row>
    <row r="201" spans="1:6" ht="12.75">
      <c r="A201" s="180">
        <v>5</v>
      </c>
      <c r="B201" s="181">
        <f t="shared" si="53"/>
        <v>411.9552371889702</v>
      </c>
      <c r="C201" s="182">
        <f t="shared" si="50"/>
        <v>16.732578962477433</v>
      </c>
      <c r="D201" s="248">
        <f t="shared" si="51"/>
        <v>60.09201364761654</v>
      </c>
      <c r="E201" s="183">
        <f t="shared" si="52"/>
        <v>0</v>
      </c>
      <c r="F201" s="213">
        <f t="shared" si="54"/>
        <v>0</v>
      </c>
    </row>
    <row r="202" spans="1:6" ht="12.75">
      <c r="A202" s="180">
        <v>6</v>
      </c>
      <c r="B202" s="181">
        <f t="shared" si="53"/>
        <v>514.9440464862128</v>
      </c>
      <c r="C202" s="182">
        <f t="shared" si="50"/>
        <v>-9.084276296903198</v>
      </c>
      <c r="D202" s="248">
        <f t="shared" si="51"/>
        <v>68.67538654763987</v>
      </c>
      <c r="E202" s="183">
        <f t="shared" si="52"/>
        <v>23.39317526326505</v>
      </c>
      <c r="F202" s="213">
        <f t="shared" si="54"/>
        <v>7.025788397759154</v>
      </c>
    </row>
    <row r="203" spans="1:6" ht="12.75">
      <c r="A203" s="151">
        <v>7</v>
      </c>
      <c r="B203" s="138">
        <f t="shared" si="53"/>
        <v>617.9328557834554</v>
      </c>
      <c r="C203" s="137">
        <f t="shared" si="50"/>
        <v>-34.90113155628384</v>
      </c>
      <c r="D203" s="137">
        <f t="shared" si="51"/>
        <v>74.27303070157116</v>
      </c>
      <c r="E203" s="169">
        <f t="shared" si="52"/>
        <v>37.23594236338118</v>
      </c>
      <c r="F203" s="141">
        <f t="shared" si="54"/>
        <v>11.183255325201122</v>
      </c>
    </row>
    <row r="204" spans="1:6" ht="12.75">
      <c r="A204" s="151">
        <v>8</v>
      </c>
      <c r="B204" s="138">
        <f t="shared" si="53"/>
        <v>720.921665080698</v>
      </c>
      <c r="C204" s="137">
        <f t="shared" si="50"/>
        <v>-60.71798681566449</v>
      </c>
      <c r="D204" s="137">
        <f t="shared" si="51"/>
        <v>76.15481836705754</v>
      </c>
      <c r="E204" s="169">
        <f t="shared" si="52"/>
        <v>40.068617425801115</v>
      </c>
      <c r="F204" s="141">
        <f t="shared" si="54"/>
        <v>12.034006681705684</v>
      </c>
    </row>
    <row r="205" spans="1:6" ht="12.75">
      <c r="A205" s="151">
        <v>9</v>
      </c>
      <c r="B205" s="138">
        <f t="shared" si="53"/>
        <v>823.9104743779405</v>
      </c>
      <c r="C205" s="137">
        <f t="shared" si="50"/>
        <v>-86.53484207504516</v>
      </c>
      <c r="D205" s="137">
        <f t="shared" si="51"/>
        <v>74.05424856531904</v>
      </c>
      <c r="E205" s="169">
        <f t="shared" si="52"/>
        <v>36.86553723566672</v>
      </c>
      <c r="F205" s="141">
        <f t="shared" si="54"/>
        <v>11.072009715339286</v>
      </c>
    </row>
    <row r="206" spans="1:6" ht="12.75">
      <c r="A206" s="180">
        <v>10</v>
      </c>
      <c r="B206" s="181">
        <f aca="true" t="shared" si="55" ref="B206:B212">B205+$B$39</f>
        <v>926.8992836751831</v>
      </c>
      <c r="C206" s="182">
        <f t="shared" si="50"/>
        <v>-112.35169733442581</v>
      </c>
      <c r="D206" s="248">
        <f t="shared" si="51"/>
        <v>68.26802591712232</v>
      </c>
      <c r="E206" s="183">
        <f t="shared" si="52"/>
        <v>21.78394873963604</v>
      </c>
      <c r="F206" s="213">
        <f t="shared" si="54"/>
        <v>6.542481411347896</v>
      </c>
    </row>
    <row r="207" spans="1:6" ht="12.75">
      <c r="A207" s="180">
        <v>11</v>
      </c>
      <c r="B207" s="181">
        <f t="shared" si="55"/>
        <v>1029.8880929724257</v>
      </c>
      <c r="C207" s="182">
        <f t="shared" si="50"/>
        <v>-138.16855259380645</v>
      </c>
      <c r="D207" s="248">
        <f t="shared" si="51"/>
        <v>59.546272721949634</v>
      </c>
      <c r="E207" s="183">
        <f t="shared" si="52"/>
        <v>0</v>
      </c>
      <c r="F207" s="213">
        <f t="shared" si="54"/>
        <v>0</v>
      </c>
    </row>
    <row r="208" spans="1:6" ht="12.75">
      <c r="A208" s="180">
        <v>12</v>
      </c>
      <c r="B208" s="181">
        <f t="shared" si="55"/>
        <v>1132.8769022696683</v>
      </c>
      <c r="C208" s="182">
        <f t="shared" si="50"/>
        <v>-163.9854078531871</v>
      </c>
      <c r="D208" s="248">
        <f t="shared" si="51"/>
        <v>48.9136917433966</v>
      </c>
      <c r="E208" s="183">
        <f t="shared" si="52"/>
        <v>0</v>
      </c>
      <c r="F208" s="213">
        <f t="shared" si="54"/>
        <v>0</v>
      </c>
    </row>
    <row r="209" spans="1:6" ht="12.75">
      <c r="A209" s="151">
        <v>13</v>
      </c>
      <c r="B209" s="138">
        <f t="shared" si="55"/>
        <v>1235.865711566911</v>
      </c>
      <c r="C209" s="137">
        <f t="shared" si="50"/>
        <v>-189.80226311256774</v>
      </c>
      <c r="D209" s="137">
        <f t="shared" si="51"/>
        <v>37.69185758687678</v>
      </c>
      <c r="E209" s="169">
        <f t="shared" si="52"/>
        <v>0</v>
      </c>
      <c r="F209" s="141">
        <f t="shared" si="54"/>
        <v>0</v>
      </c>
    </row>
    <row r="210" spans="1:6" ht="12.75">
      <c r="A210" s="151">
        <v>14</v>
      </c>
      <c r="B210" s="138">
        <f t="shared" si="55"/>
        <v>1338.8545208641535</v>
      </c>
      <c r="C210" s="137">
        <f t="shared" si="50"/>
        <v>-215.6191183719484</v>
      </c>
      <c r="D210" s="137">
        <f t="shared" si="51"/>
        <v>28.064775633894328</v>
      </c>
      <c r="E210" s="169">
        <f t="shared" si="52"/>
        <v>0</v>
      </c>
      <c r="F210" s="141">
        <f t="shared" si="54"/>
        <v>0</v>
      </c>
    </row>
    <row r="211" spans="1:6" ht="12.75">
      <c r="A211" s="151">
        <v>15</v>
      </c>
      <c r="B211" s="138">
        <f t="shared" si="55"/>
        <v>1441.8433301613961</v>
      </c>
      <c r="C211" s="137">
        <f t="shared" si="50"/>
        <v>-241.43597363132903</v>
      </c>
      <c r="D211" s="137">
        <f t="shared" si="51"/>
        <v>24.17117278156918</v>
      </c>
      <c r="E211" s="169">
        <f t="shared" si="52"/>
        <v>0</v>
      </c>
      <c r="F211" s="141">
        <f t="shared" si="54"/>
        <v>0</v>
      </c>
    </row>
    <row r="212" spans="1:6" ht="12.75">
      <c r="A212" s="180">
        <v>16</v>
      </c>
      <c r="B212" s="181">
        <f t="shared" si="55"/>
        <v>1544.8321394586387</v>
      </c>
      <c r="C212" s="182">
        <f t="shared" si="50"/>
        <v>-267.25282889070974</v>
      </c>
      <c r="D212" s="248">
        <f t="shared" si="51"/>
        <v>28.946765745835368</v>
      </c>
      <c r="E212" s="183">
        <f t="shared" si="52"/>
        <v>0</v>
      </c>
      <c r="F212" s="213">
        <f t="shared" si="54"/>
        <v>0</v>
      </c>
    </row>
    <row r="213" spans="1:6" ht="12.75">
      <c r="A213" s="186">
        <v>17</v>
      </c>
      <c r="B213" s="187">
        <f>B212+$B$39</f>
        <v>1647.8209487558813</v>
      </c>
      <c r="C213" s="188">
        <f t="shared" si="50"/>
        <v>-293.0696841500904</v>
      </c>
      <c r="D213" s="249">
        <f t="shared" si="51"/>
        <v>38.914524425019586</v>
      </c>
      <c r="E213" s="189">
        <f t="shared" si="52"/>
        <v>0</v>
      </c>
      <c r="F213" s="214">
        <f t="shared" si="54"/>
        <v>0</v>
      </c>
    </row>
    <row r="214" spans="1:6" ht="25.5">
      <c r="A214" s="230"/>
      <c r="B214" s="231"/>
      <c r="C214" s="232" t="s">
        <v>86</v>
      </c>
      <c r="D214" s="235">
        <f>D195+Figure!B18</f>
        <v>72</v>
      </c>
      <c r="E214" s="231"/>
      <c r="F214" s="233"/>
    </row>
    <row r="215" spans="1:6" ht="25.5">
      <c r="A215" s="147" t="s">
        <v>54</v>
      </c>
      <c r="B215" s="148" t="s">
        <v>62</v>
      </c>
      <c r="C215" s="149" t="s">
        <v>63</v>
      </c>
      <c r="D215" s="150" t="s">
        <v>82</v>
      </c>
      <c r="E215" s="168" t="s">
        <v>83</v>
      </c>
      <c r="F215" s="170" t="s">
        <v>64</v>
      </c>
    </row>
    <row r="216" spans="1:6" ht="12.75">
      <c r="A216" s="151">
        <v>1</v>
      </c>
      <c r="B216" s="136">
        <v>0</v>
      </c>
      <c r="C216" s="137">
        <f aca="true" t="shared" si="56" ref="C216:C232">$B$17+$B$23*B216</f>
        <v>120</v>
      </c>
      <c r="D216" s="245">
        <f aca="true" t="shared" si="57" ref="D216:D232">deg*ACOS(SIN($B$24/deg)*SIN(($B$18+$D$214)/deg)+COS($B$24/deg)*COS(($B$18+$D$214)/deg)*COS((C216-$B$19)/deg))</f>
        <v>32.15637779721491</v>
      </c>
      <c r="E216" s="169">
        <f aca="true" t="shared" si="58" ref="E216:E232">IF(OR(((COS($B$42/deg)-COS($B$27/deg)*COS(D216/deg))/(SIN($B$27/deg)*SIN(D216/deg)))&gt;1,((COS($B$42/deg)-COS($B$27/deg)*COS(D216/deg))/(SIN($B$27/deg)*SIN(D216/deg)))&lt;-1),0,2*deg*ACOS((COS($B$42/deg)-COS($B$27/deg)*COS(D216/deg))/(SIN($B$27/deg)*SIN(D216/deg))))</f>
        <v>0</v>
      </c>
      <c r="F216" s="141">
        <f>E216/$B$26</f>
        <v>0</v>
      </c>
    </row>
    <row r="217" spans="1:6" ht="12.75">
      <c r="A217" s="151">
        <v>2</v>
      </c>
      <c r="B217" s="138">
        <f aca="true" t="shared" si="59" ref="B217:B231">B216+$B$39</f>
        <v>102.98880929724255</v>
      </c>
      <c r="C217" s="137">
        <f t="shared" si="56"/>
        <v>94.18314474061935</v>
      </c>
      <c r="D217" s="137">
        <f t="shared" si="57"/>
        <v>34.62206046044606</v>
      </c>
      <c r="E217" s="169">
        <f t="shared" si="58"/>
        <v>0</v>
      </c>
      <c r="F217" s="141">
        <f aca="true" t="shared" si="60" ref="F217:F232">E217/$B$26</f>
        <v>0</v>
      </c>
    </row>
    <row r="218" spans="1:6" ht="12.75">
      <c r="A218" s="151">
        <v>3</v>
      </c>
      <c r="B218" s="138">
        <f t="shared" si="59"/>
        <v>205.9776185944851</v>
      </c>
      <c r="C218" s="137">
        <f t="shared" si="56"/>
        <v>68.36628948123871</v>
      </c>
      <c r="D218" s="137">
        <f t="shared" si="57"/>
        <v>40.83445634952925</v>
      </c>
      <c r="E218" s="169">
        <f t="shared" si="58"/>
        <v>0</v>
      </c>
      <c r="F218" s="141">
        <f t="shared" si="60"/>
        <v>0</v>
      </c>
    </row>
    <row r="219" spans="1:6" ht="12.75">
      <c r="A219" s="180">
        <v>4</v>
      </c>
      <c r="B219" s="181">
        <f t="shared" si="59"/>
        <v>308.9664278917277</v>
      </c>
      <c r="C219" s="182">
        <f t="shared" si="56"/>
        <v>42.54943422185808</v>
      </c>
      <c r="D219" s="248">
        <f t="shared" si="57"/>
        <v>48.632264238673166</v>
      </c>
      <c r="E219" s="183">
        <f t="shared" si="58"/>
        <v>0</v>
      </c>
      <c r="F219" s="213">
        <f t="shared" si="60"/>
        <v>0</v>
      </c>
    </row>
    <row r="220" spans="1:6" ht="12.75">
      <c r="A220" s="180">
        <v>5</v>
      </c>
      <c r="B220" s="181">
        <f t="shared" si="59"/>
        <v>411.9552371889702</v>
      </c>
      <c r="C220" s="182">
        <f t="shared" si="56"/>
        <v>16.732578962477433</v>
      </c>
      <c r="D220" s="248">
        <f t="shared" si="57"/>
        <v>56.29714592352719</v>
      </c>
      <c r="E220" s="183">
        <f t="shared" si="58"/>
        <v>0</v>
      </c>
      <c r="F220" s="213">
        <f t="shared" si="60"/>
        <v>0</v>
      </c>
    </row>
    <row r="221" spans="1:6" ht="12.75">
      <c r="A221" s="180">
        <v>6</v>
      </c>
      <c r="B221" s="181">
        <f t="shared" si="59"/>
        <v>514.9440464862128</v>
      </c>
      <c r="C221" s="182">
        <f t="shared" si="56"/>
        <v>-9.084276296903198</v>
      </c>
      <c r="D221" s="248">
        <f t="shared" si="57"/>
        <v>62.62890963470728</v>
      </c>
      <c r="E221" s="183">
        <f t="shared" si="58"/>
        <v>0</v>
      </c>
      <c r="F221" s="213">
        <f t="shared" si="60"/>
        <v>0</v>
      </c>
    </row>
    <row r="222" spans="1:6" ht="12.75">
      <c r="A222" s="151">
        <v>7</v>
      </c>
      <c r="B222" s="138">
        <f t="shared" si="59"/>
        <v>617.9328557834554</v>
      </c>
      <c r="C222" s="137">
        <f t="shared" si="56"/>
        <v>-34.90113155628384</v>
      </c>
      <c r="D222" s="137">
        <f t="shared" si="57"/>
        <v>66.76660399732535</v>
      </c>
      <c r="E222" s="169">
        <f t="shared" si="58"/>
        <v>13.86068003885477</v>
      </c>
      <c r="F222" s="141">
        <f t="shared" si="60"/>
        <v>4.162846809212758</v>
      </c>
    </row>
    <row r="223" spans="1:6" ht="12.75">
      <c r="A223" s="151">
        <v>8</v>
      </c>
      <c r="B223" s="138">
        <f t="shared" si="59"/>
        <v>720.921665080698</v>
      </c>
      <c r="C223" s="137">
        <f t="shared" si="56"/>
        <v>-60.71798681566449</v>
      </c>
      <c r="D223" s="137">
        <f t="shared" si="57"/>
        <v>68.15522789297518</v>
      </c>
      <c r="E223" s="169">
        <f t="shared" si="58"/>
        <v>21.310023921076205</v>
      </c>
      <c r="F223" s="141">
        <f t="shared" si="60"/>
        <v>6.400145219096283</v>
      </c>
    </row>
    <row r="224" spans="1:6" ht="12.75">
      <c r="A224" s="151">
        <v>9</v>
      </c>
      <c r="B224" s="138">
        <f t="shared" si="59"/>
        <v>823.9104743779405</v>
      </c>
      <c r="C224" s="137">
        <f t="shared" si="56"/>
        <v>-86.53484207504516</v>
      </c>
      <c r="D224" s="137">
        <f t="shared" si="57"/>
        <v>66.60504169991162</v>
      </c>
      <c r="E224" s="169">
        <f t="shared" si="58"/>
        <v>12.662804284827164</v>
      </c>
      <c r="F224" s="141">
        <f t="shared" si="60"/>
        <v>3.8030828404530292</v>
      </c>
    </row>
    <row r="225" spans="1:6" ht="12.75">
      <c r="A225" s="180">
        <v>10</v>
      </c>
      <c r="B225" s="181">
        <f t="shared" si="59"/>
        <v>926.8992836751831</v>
      </c>
      <c r="C225" s="182">
        <f t="shared" si="56"/>
        <v>-112.35169733442581</v>
      </c>
      <c r="D225" s="248">
        <f t="shared" si="57"/>
        <v>62.3276998156082</v>
      </c>
      <c r="E225" s="183">
        <f t="shared" si="58"/>
        <v>0</v>
      </c>
      <c r="F225" s="213">
        <f t="shared" si="60"/>
        <v>0</v>
      </c>
    </row>
    <row r="226" spans="1:6" ht="12.75">
      <c r="A226" s="180">
        <v>11</v>
      </c>
      <c r="B226" s="181">
        <f t="shared" si="59"/>
        <v>1029.8880929724257</v>
      </c>
      <c r="C226" s="182">
        <f t="shared" si="56"/>
        <v>-138.16855259380645</v>
      </c>
      <c r="D226" s="248">
        <f t="shared" si="57"/>
        <v>55.89646913805372</v>
      </c>
      <c r="E226" s="183">
        <f t="shared" si="58"/>
        <v>0</v>
      </c>
      <c r="F226" s="213">
        <f t="shared" si="60"/>
        <v>0</v>
      </c>
    </row>
    <row r="227" spans="1:6" ht="12.75">
      <c r="A227" s="180">
        <v>12</v>
      </c>
      <c r="B227" s="181">
        <f t="shared" si="59"/>
        <v>1132.8769022696683</v>
      </c>
      <c r="C227" s="182">
        <f t="shared" si="56"/>
        <v>-163.9854078531871</v>
      </c>
      <c r="D227" s="248">
        <f t="shared" si="57"/>
        <v>48.18890089723644</v>
      </c>
      <c r="E227" s="183">
        <f t="shared" si="58"/>
        <v>0</v>
      </c>
      <c r="F227" s="213">
        <f t="shared" si="60"/>
        <v>0</v>
      </c>
    </row>
    <row r="228" spans="1:6" ht="12.75">
      <c r="A228" s="151">
        <v>13</v>
      </c>
      <c r="B228" s="138">
        <f t="shared" si="59"/>
        <v>1235.865711566911</v>
      </c>
      <c r="C228" s="137">
        <f t="shared" si="56"/>
        <v>-189.80226311256774</v>
      </c>
      <c r="D228" s="137">
        <f t="shared" si="57"/>
        <v>40.428349030312766</v>
      </c>
      <c r="E228" s="169">
        <f t="shared" si="58"/>
        <v>0</v>
      </c>
      <c r="F228" s="141">
        <f t="shared" si="60"/>
        <v>0</v>
      </c>
    </row>
    <row r="229" spans="1:6" ht="12.75">
      <c r="A229" s="151">
        <v>14</v>
      </c>
      <c r="B229" s="138">
        <f t="shared" si="59"/>
        <v>1338.8545208641535</v>
      </c>
      <c r="C229" s="137">
        <f t="shared" si="56"/>
        <v>-215.6191183719484</v>
      </c>
      <c r="D229" s="137">
        <f t="shared" si="57"/>
        <v>34.366879438713816</v>
      </c>
      <c r="E229" s="169">
        <f t="shared" si="58"/>
        <v>0</v>
      </c>
      <c r="F229" s="141">
        <f t="shared" si="60"/>
        <v>0</v>
      </c>
    </row>
    <row r="230" spans="1:6" ht="12.75">
      <c r="A230" s="151">
        <v>15</v>
      </c>
      <c r="B230" s="138">
        <f t="shared" si="59"/>
        <v>1441.8433301613961</v>
      </c>
      <c r="C230" s="137">
        <f t="shared" si="56"/>
        <v>-241.43597363132903</v>
      </c>
      <c r="D230" s="137">
        <f t="shared" si="57"/>
        <v>32.16439820642803</v>
      </c>
      <c r="E230" s="169">
        <f t="shared" si="58"/>
        <v>0</v>
      </c>
      <c r="F230" s="141">
        <f t="shared" si="60"/>
        <v>0</v>
      </c>
    </row>
    <row r="231" spans="1:6" ht="12.75">
      <c r="A231" s="180">
        <v>16</v>
      </c>
      <c r="B231" s="181">
        <f t="shared" si="59"/>
        <v>1544.8321394586387</v>
      </c>
      <c r="C231" s="182">
        <f t="shared" si="56"/>
        <v>-267.25282889070974</v>
      </c>
      <c r="D231" s="248">
        <f t="shared" si="57"/>
        <v>34.88904576040221</v>
      </c>
      <c r="E231" s="183">
        <f t="shared" si="58"/>
        <v>0</v>
      </c>
      <c r="F231" s="213">
        <f t="shared" si="60"/>
        <v>0</v>
      </c>
    </row>
    <row r="232" spans="1:6" ht="13.5" thickBot="1">
      <c r="A232" s="217">
        <v>17</v>
      </c>
      <c r="B232" s="218">
        <f>B231+$B$39</f>
        <v>1647.8209487558813</v>
      </c>
      <c r="C232" s="219">
        <f t="shared" si="56"/>
        <v>-293.0696841500904</v>
      </c>
      <c r="D232" s="250">
        <f t="shared" si="57"/>
        <v>41.245299070049875</v>
      </c>
      <c r="E232" s="220">
        <f t="shared" si="58"/>
        <v>0</v>
      </c>
      <c r="F232" s="221">
        <f t="shared" si="60"/>
        <v>0</v>
      </c>
    </row>
    <row r="233" spans="1:5" ht="12.75">
      <c r="A233" s="70"/>
      <c r="B233" s="83"/>
      <c r="C233" s="84"/>
      <c r="D233" s="83"/>
      <c r="E233" s="83"/>
    </row>
    <row r="234" spans="1:5" ht="12.75">
      <c r="A234" s="70"/>
      <c r="B234" s="83"/>
      <c r="C234" s="84"/>
      <c r="D234" s="83"/>
      <c r="E234" s="83"/>
    </row>
    <row r="235" spans="1:5" ht="12.75">
      <c r="A235" s="70"/>
      <c r="B235" s="83"/>
      <c r="C235" s="84"/>
      <c r="D235" s="83"/>
      <c r="E235" s="83"/>
    </row>
    <row r="236" spans="1:5" ht="12.75">
      <c r="A236" s="70"/>
      <c r="B236" s="83"/>
      <c r="C236" s="84"/>
      <c r="D236" s="83"/>
      <c r="E236" s="83"/>
    </row>
    <row r="237" spans="1:5" ht="12.75">
      <c r="A237" s="70"/>
      <c r="B237" s="83"/>
      <c r="C237" s="84"/>
      <c r="D237" s="83"/>
      <c r="E237" s="83"/>
    </row>
    <row r="238" spans="1:5" ht="12.75">
      <c r="A238" s="70"/>
      <c r="B238" s="83"/>
      <c r="C238" s="84"/>
      <c r="D238" s="83"/>
      <c r="E238" s="83"/>
    </row>
    <row r="239" spans="1:5" ht="12.75">
      <c r="A239" s="70"/>
      <c r="B239" s="83"/>
      <c r="C239" s="84"/>
      <c r="D239" s="83"/>
      <c r="E239" s="83"/>
    </row>
    <row r="240" spans="1:5" ht="12.75">
      <c r="A240" s="70"/>
      <c r="B240" s="83"/>
      <c r="C240" s="84"/>
      <c r="D240" s="83"/>
      <c r="E240" s="83"/>
    </row>
    <row r="241" spans="1:5" ht="12.75">
      <c r="A241" s="70"/>
      <c r="B241" s="83"/>
      <c r="C241" s="84"/>
      <c r="D241" s="83"/>
      <c r="E241" s="83"/>
    </row>
    <row r="242" spans="1:5" ht="12.75">
      <c r="A242" s="70"/>
      <c r="B242" s="83"/>
      <c r="C242" s="84"/>
      <c r="D242" s="83"/>
      <c r="E242" s="83"/>
    </row>
    <row r="243" spans="1:5" ht="12.75">
      <c r="A243" s="70"/>
      <c r="B243" s="83"/>
      <c r="C243" s="84"/>
      <c r="D243" s="83"/>
      <c r="E243" s="83"/>
    </row>
    <row r="244" spans="1:5" ht="12.75">
      <c r="A244" s="70"/>
      <c r="B244" s="83"/>
      <c r="C244" s="84"/>
      <c r="D244" s="83"/>
      <c r="E244" s="83"/>
    </row>
    <row r="245" spans="1:5" ht="12.75">
      <c r="A245" s="70"/>
      <c r="B245" s="83"/>
      <c r="C245" s="84"/>
      <c r="D245" s="83"/>
      <c r="E245" s="83"/>
    </row>
    <row r="246" spans="1:5" ht="12.75">
      <c r="A246" s="70"/>
      <c r="B246" s="83"/>
      <c r="C246" s="84"/>
      <c r="D246" s="83"/>
      <c r="E246" s="83"/>
    </row>
    <row r="247" spans="1:5" ht="12.75">
      <c r="A247" s="70"/>
      <c r="B247" s="83"/>
      <c r="C247" s="84"/>
      <c r="D247" s="83"/>
      <c r="E247" s="83"/>
    </row>
    <row r="248" spans="1:5" ht="12.75">
      <c r="A248" s="70"/>
      <c r="B248" s="83"/>
      <c r="C248" s="84"/>
      <c r="D248" s="83"/>
      <c r="E248" s="83"/>
    </row>
    <row r="249" spans="1:5" ht="12.75">
      <c r="A249" s="70"/>
      <c r="B249" s="83"/>
      <c r="C249" s="84"/>
      <c r="D249" s="83"/>
      <c r="E249" s="83"/>
    </row>
    <row r="250" spans="1:5" ht="12.75">
      <c r="A250" s="70"/>
      <c r="B250" s="83"/>
      <c r="C250" s="84"/>
      <c r="D250" s="83"/>
      <c r="E250" s="83"/>
    </row>
    <row r="251" spans="1:5" ht="12.75">
      <c r="A251" s="70"/>
      <c r="B251" s="83"/>
      <c r="C251" s="84"/>
      <c r="D251" s="83"/>
      <c r="E251" s="83"/>
    </row>
    <row r="252" spans="1:5" ht="12.75">
      <c r="A252" s="70"/>
      <c r="B252" s="83"/>
      <c r="C252" s="84"/>
      <c r="D252" s="83"/>
      <c r="E252" s="83"/>
    </row>
    <row r="253" spans="1:5" ht="12.75">
      <c r="A253" s="70"/>
      <c r="B253" s="83"/>
      <c r="C253" s="84"/>
      <c r="D253" s="83"/>
      <c r="E253" s="83"/>
    </row>
    <row r="254" spans="1:5" ht="12.75">
      <c r="A254" s="70"/>
      <c r="B254" s="83"/>
      <c r="C254" s="84"/>
      <c r="D254" s="83"/>
      <c r="E254" s="83"/>
    </row>
    <row r="255" spans="1:5" ht="12.75">
      <c r="A255" s="70"/>
      <c r="B255" s="83"/>
      <c r="C255" s="84"/>
      <c r="D255" s="83"/>
      <c r="E255" s="83"/>
    </row>
    <row r="256" spans="1:5" ht="12.75">
      <c r="A256" s="70"/>
      <c r="B256" s="83"/>
      <c r="C256" s="84"/>
      <c r="D256" s="83"/>
      <c r="E256" s="83"/>
    </row>
    <row r="257" spans="1:5" ht="12.75">
      <c r="A257" s="70"/>
      <c r="B257" s="83"/>
      <c r="C257" s="84"/>
      <c r="D257" s="83"/>
      <c r="E257" s="83"/>
    </row>
    <row r="258" spans="1:5" ht="12.75">
      <c r="A258" s="70"/>
      <c r="B258" s="83"/>
      <c r="C258" s="84"/>
      <c r="D258" s="83"/>
      <c r="E258" s="83"/>
    </row>
    <row r="259" spans="1:5" ht="12.75">
      <c r="A259" s="70"/>
      <c r="B259" s="83"/>
      <c r="C259" s="84"/>
      <c r="D259" s="83"/>
      <c r="E259" s="83"/>
    </row>
    <row r="260" spans="1:5" ht="12.75">
      <c r="A260" s="70"/>
      <c r="B260" s="83"/>
      <c r="C260" s="84"/>
      <c r="D260" s="83"/>
      <c r="E260" s="83"/>
    </row>
    <row r="261" spans="1:5" ht="12.75">
      <c r="A261" s="70"/>
      <c r="B261" s="83"/>
      <c r="C261" s="84"/>
      <c r="D261" s="83"/>
      <c r="E261" s="83"/>
    </row>
    <row r="262" spans="1:5" ht="12.75">
      <c r="A262" s="70"/>
      <c r="B262" s="83"/>
      <c r="C262" s="84"/>
      <c r="D262" s="83"/>
      <c r="E262" s="83"/>
    </row>
    <row r="263" spans="1:5" ht="12.75">
      <c r="A263" s="70"/>
      <c r="B263" s="83"/>
      <c r="C263" s="84"/>
      <c r="D263" s="83"/>
      <c r="E263" s="83"/>
    </row>
    <row r="264" spans="1:5" ht="12.75">
      <c r="A264" s="70"/>
      <c r="B264" s="83"/>
      <c r="C264" s="84"/>
      <c r="D264" s="83"/>
      <c r="E264" s="83"/>
    </row>
    <row r="265" spans="1:5" ht="12.75">
      <c r="A265" s="70"/>
      <c r="B265" s="83"/>
      <c r="C265" s="84"/>
      <c r="D265" s="83"/>
      <c r="E265" s="83"/>
    </row>
    <row r="266" spans="1:5" ht="12.75">
      <c r="A266" s="70"/>
      <c r="B266" s="83"/>
      <c r="C266" s="84"/>
      <c r="D266" s="83"/>
      <c r="E266" s="83"/>
    </row>
    <row r="267" spans="1:5" ht="12.75">
      <c r="A267" s="70"/>
      <c r="B267" s="83"/>
      <c r="C267" s="84"/>
      <c r="D267" s="83"/>
      <c r="E267" s="83"/>
    </row>
    <row r="268" spans="1:5" ht="12.75">
      <c r="A268" s="70"/>
      <c r="B268" s="83"/>
      <c r="C268" s="84"/>
      <c r="D268" s="83"/>
      <c r="E268" s="83"/>
    </row>
    <row r="269" spans="1:5" ht="12.75">
      <c r="A269" s="70"/>
      <c r="B269" s="83"/>
      <c r="C269" s="84"/>
      <c r="D269" s="83"/>
      <c r="E269" s="83"/>
    </row>
    <row r="270" spans="1:5" ht="12.75">
      <c r="A270" s="70"/>
      <c r="B270" s="83"/>
      <c r="C270" s="84"/>
      <c r="D270" s="83"/>
      <c r="E270" s="83"/>
    </row>
    <row r="271" spans="1:5" ht="12.75">
      <c r="A271" s="70"/>
      <c r="B271" s="83"/>
      <c r="C271" s="84"/>
      <c r="D271" s="83"/>
      <c r="E271" s="83"/>
    </row>
    <row r="272" spans="1:5" ht="12.75">
      <c r="A272" s="70"/>
      <c r="B272" s="83"/>
      <c r="C272" s="84"/>
      <c r="D272" s="83"/>
      <c r="E272" s="83"/>
    </row>
    <row r="273" spans="1:5" ht="12.75">
      <c r="A273" s="70"/>
      <c r="B273" s="83"/>
      <c r="C273" s="84"/>
      <c r="D273" s="83"/>
      <c r="E273" s="83"/>
    </row>
    <row r="274" spans="1:5" ht="12.75">
      <c r="A274" s="70"/>
      <c r="B274" s="83"/>
      <c r="C274" s="84"/>
      <c r="D274" s="83"/>
      <c r="E274" s="83"/>
    </row>
    <row r="275" spans="1:5" ht="12.75">
      <c r="A275" s="70"/>
      <c r="B275" s="83"/>
      <c r="C275" s="84"/>
      <c r="D275" s="83"/>
      <c r="E275" s="83"/>
    </row>
    <row r="276" spans="1:5" ht="12.75">
      <c r="A276" s="70"/>
      <c r="B276" s="83"/>
      <c r="C276" s="84"/>
      <c r="D276" s="83"/>
      <c r="E276" s="83"/>
    </row>
    <row r="277" spans="1:5" ht="12.75">
      <c r="A277" s="70"/>
      <c r="B277" s="83"/>
      <c r="C277" s="84"/>
      <c r="D277" s="83"/>
      <c r="E277" s="83"/>
    </row>
    <row r="278" spans="1:5" ht="12.75">
      <c r="A278" s="70"/>
      <c r="B278" s="83"/>
      <c r="C278" s="84"/>
      <c r="D278" s="83"/>
      <c r="E278" s="83"/>
    </row>
    <row r="279" spans="1:5" ht="12.75">
      <c r="A279" s="70"/>
      <c r="B279" s="83"/>
      <c r="C279" s="84"/>
      <c r="D279" s="83"/>
      <c r="E279" s="83"/>
    </row>
    <row r="280" spans="1:5" ht="12.75">
      <c r="A280" s="70"/>
      <c r="B280" s="83"/>
      <c r="C280" s="84"/>
      <c r="D280" s="83"/>
      <c r="E280" s="83"/>
    </row>
    <row r="281" spans="1:5" ht="12.75">
      <c r="A281" s="70"/>
      <c r="B281" s="83"/>
      <c r="C281" s="84"/>
      <c r="D281" s="83"/>
      <c r="E281" s="83"/>
    </row>
    <row r="282" spans="1:5" ht="12.75">
      <c r="A282" s="70"/>
      <c r="B282" s="83"/>
      <c r="C282" s="84"/>
      <c r="D282" s="83"/>
      <c r="E282" s="83"/>
    </row>
    <row r="283" spans="1:5" ht="12.75">
      <c r="A283" s="70"/>
      <c r="B283" s="83"/>
      <c r="C283" s="84"/>
      <c r="D283" s="83"/>
      <c r="E283" s="83"/>
    </row>
    <row r="284" spans="1:5" ht="12.75">
      <c r="A284" s="70"/>
      <c r="B284" s="83"/>
      <c r="C284" s="84"/>
      <c r="D284" s="83"/>
      <c r="E284" s="83"/>
    </row>
    <row r="285" spans="1:5" ht="12.75">
      <c r="A285" s="70"/>
      <c r="B285" s="83"/>
      <c r="C285" s="84"/>
      <c r="D285" s="83"/>
      <c r="E285" s="83"/>
    </row>
    <row r="286" spans="1:5" ht="12.75">
      <c r="A286" s="70"/>
      <c r="B286" s="83"/>
      <c r="C286" s="84"/>
      <c r="D286" s="83"/>
      <c r="E286" s="83"/>
    </row>
    <row r="287" spans="1:5" ht="12.75">
      <c r="A287" s="70"/>
      <c r="B287" s="83"/>
      <c r="C287" s="84"/>
      <c r="D287" s="83"/>
      <c r="E287" s="83"/>
    </row>
    <row r="288" spans="1:5" ht="12.75">
      <c r="A288" s="70"/>
      <c r="B288" s="83"/>
      <c r="C288" s="84"/>
      <c r="D288" s="83"/>
      <c r="E288" s="83"/>
    </row>
    <row r="289" spans="1:5" ht="12.75">
      <c r="A289" s="70"/>
      <c r="B289" s="83"/>
      <c r="C289" s="84"/>
      <c r="D289" s="83"/>
      <c r="E289" s="83"/>
    </row>
    <row r="290" spans="1:5" ht="12.75">
      <c r="A290" s="70"/>
      <c r="B290" s="83"/>
      <c r="C290" s="84"/>
      <c r="D290" s="83"/>
      <c r="E290" s="83"/>
    </row>
    <row r="291" spans="1:5" ht="12.75">
      <c r="A291" s="70"/>
      <c r="B291" s="83"/>
      <c r="C291" s="84"/>
      <c r="D291" s="83"/>
      <c r="E291" s="83"/>
    </row>
    <row r="292" spans="1:5" ht="12.75">
      <c r="A292" s="70"/>
      <c r="B292" s="83"/>
      <c r="C292" s="84"/>
      <c r="D292" s="83"/>
      <c r="E292" s="83"/>
    </row>
    <row r="293" spans="1:5" ht="12.75">
      <c r="A293" s="70"/>
      <c r="B293" s="83"/>
      <c r="C293" s="84"/>
      <c r="D293" s="83"/>
      <c r="E293" s="83"/>
    </row>
    <row r="294" spans="1:5" ht="12.75">
      <c r="A294" s="70"/>
      <c r="B294" s="83"/>
      <c r="C294" s="84"/>
      <c r="D294" s="83"/>
      <c r="E294" s="83"/>
    </row>
    <row r="295" spans="1:5" ht="12.75">
      <c r="A295" s="70"/>
      <c r="B295" s="83"/>
      <c r="C295" s="84"/>
      <c r="D295" s="83"/>
      <c r="E295" s="83"/>
    </row>
    <row r="296" spans="1:5" ht="12.75">
      <c r="A296" s="70"/>
      <c r="B296" s="83"/>
      <c r="C296" s="84"/>
      <c r="D296" s="83"/>
      <c r="E296" s="83"/>
    </row>
    <row r="297" spans="1:5" ht="12.75">
      <c r="A297" s="70"/>
      <c r="B297" s="83"/>
      <c r="C297" s="84"/>
      <c r="D297" s="83"/>
      <c r="E297" s="83"/>
    </row>
    <row r="298" spans="1:5" ht="12.75">
      <c r="A298" s="70"/>
      <c r="B298" s="83"/>
      <c r="C298" s="84"/>
      <c r="D298" s="83"/>
      <c r="E298" s="83"/>
    </row>
    <row r="299" spans="1:5" ht="12.75">
      <c r="A299" s="70"/>
      <c r="B299" s="83"/>
      <c r="C299" s="84"/>
      <c r="D299" s="83"/>
      <c r="E299" s="83"/>
    </row>
    <row r="300" spans="1:5" ht="12.75">
      <c r="A300" s="70"/>
      <c r="B300" s="83"/>
      <c r="C300" s="84"/>
      <c r="D300" s="83"/>
      <c r="E300" s="83"/>
    </row>
    <row r="301" spans="1:5" ht="12.75">
      <c r="A301" s="70"/>
      <c r="B301" s="83"/>
      <c r="C301" s="84"/>
      <c r="D301" s="83"/>
      <c r="E301" s="83"/>
    </row>
    <row r="302" spans="1:5" ht="12.75">
      <c r="A302" s="70"/>
      <c r="B302" s="83"/>
      <c r="C302" s="84"/>
      <c r="D302" s="83"/>
      <c r="E302" s="83"/>
    </row>
    <row r="303" spans="1:5" ht="12.75">
      <c r="A303" s="70"/>
      <c r="B303" s="83"/>
      <c r="C303" s="84"/>
      <c r="D303" s="83"/>
      <c r="E303" s="83"/>
    </row>
    <row r="304" spans="1:5" ht="12.75">
      <c r="A304" s="70"/>
      <c r="B304" s="83"/>
      <c r="C304" s="84"/>
      <c r="D304" s="83"/>
      <c r="E304" s="83"/>
    </row>
    <row r="305" spans="1:5" ht="12.75">
      <c r="A305" s="70"/>
      <c r="B305" s="83"/>
      <c r="C305" s="84"/>
      <c r="D305" s="83"/>
      <c r="E305" s="83"/>
    </row>
    <row r="306" spans="1:5" ht="12.75">
      <c r="A306" s="70"/>
      <c r="B306" s="83"/>
      <c r="C306" s="84"/>
      <c r="D306" s="83"/>
      <c r="E306" s="83"/>
    </row>
    <row r="307" spans="1:5" ht="12.75">
      <c r="A307" s="70"/>
      <c r="B307" s="83"/>
      <c r="C307" s="84"/>
      <c r="D307" s="83"/>
      <c r="E307" s="83"/>
    </row>
    <row r="308" spans="1:5" ht="12.75">
      <c r="A308" s="70"/>
      <c r="B308" s="83"/>
      <c r="C308" s="84"/>
      <c r="D308" s="83"/>
      <c r="E308" s="83"/>
    </row>
    <row r="309" spans="1:5" ht="12.75">
      <c r="A309" s="70"/>
      <c r="B309" s="83"/>
      <c r="C309" s="84"/>
      <c r="D309" s="83"/>
      <c r="E309" s="83"/>
    </row>
    <row r="310" spans="1:5" ht="12.75">
      <c r="A310" s="70"/>
      <c r="B310" s="83"/>
      <c r="C310" s="84"/>
      <c r="D310" s="83"/>
      <c r="E310" s="83"/>
    </row>
    <row r="311" spans="1:5" ht="12.75">
      <c r="A311" s="70"/>
      <c r="B311" s="83"/>
      <c r="C311" s="84"/>
      <c r="D311" s="83"/>
      <c r="E311" s="83"/>
    </row>
    <row r="312" spans="1:5" ht="12.75">
      <c r="A312" s="70"/>
      <c r="B312" s="83"/>
      <c r="C312" s="84"/>
      <c r="D312" s="83"/>
      <c r="E312" s="83"/>
    </row>
    <row r="313" spans="1:5" ht="12.75">
      <c r="A313" s="70"/>
      <c r="B313" s="83"/>
      <c r="C313" s="84"/>
      <c r="D313" s="83"/>
      <c r="E313" s="83"/>
    </row>
    <row r="314" spans="1:5" ht="12.75">
      <c r="A314" s="70"/>
      <c r="B314" s="83"/>
      <c r="C314" s="84"/>
      <c r="D314" s="83"/>
      <c r="E314" s="83"/>
    </row>
    <row r="315" spans="1:5" ht="12.75">
      <c r="A315" s="70"/>
      <c r="B315" s="83"/>
      <c r="C315" s="84"/>
      <c r="D315" s="83"/>
      <c r="E315" s="83"/>
    </row>
    <row r="316" spans="1:5" ht="12.75">
      <c r="A316" s="70"/>
      <c r="B316" s="83"/>
      <c r="C316" s="84"/>
      <c r="D316" s="83"/>
      <c r="E316" s="83"/>
    </row>
    <row r="317" spans="1:5" ht="12.75">
      <c r="A317" s="70"/>
      <c r="B317" s="83"/>
      <c r="C317" s="84"/>
      <c r="D317" s="83"/>
      <c r="E317" s="83"/>
    </row>
    <row r="318" spans="1:5" ht="12.75">
      <c r="A318" s="70"/>
      <c r="B318" s="83"/>
      <c r="C318" s="84"/>
      <c r="D318" s="83"/>
      <c r="E318" s="83"/>
    </row>
    <row r="319" spans="1:5" ht="12.75">
      <c r="A319" s="70"/>
      <c r="B319" s="83"/>
      <c r="C319" s="84"/>
      <c r="D319" s="83"/>
      <c r="E319" s="83"/>
    </row>
    <row r="320" spans="1:5" ht="12.75">
      <c r="A320" s="70"/>
      <c r="B320" s="83"/>
      <c r="C320" s="84"/>
      <c r="D320" s="83"/>
      <c r="E320" s="83"/>
    </row>
    <row r="321" spans="1:5" ht="12.75">
      <c r="A321" s="70"/>
      <c r="B321" s="83"/>
      <c r="C321" s="84"/>
      <c r="D321" s="83"/>
      <c r="E321" s="83"/>
    </row>
    <row r="322" spans="1:5" ht="12.75">
      <c r="A322" s="70"/>
      <c r="B322" s="83"/>
      <c r="C322" s="84"/>
      <c r="D322" s="83"/>
      <c r="E322" s="83"/>
    </row>
    <row r="323" spans="1:5" ht="12.75">
      <c r="A323" s="70"/>
      <c r="B323" s="83"/>
      <c r="C323" s="84"/>
      <c r="D323" s="83"/>
      <c r="E323" s="83"/>
    </row>
    <row r="324" spans="1:5" ht="12.75">
      <c r="A324" s="70"/>
      <c r="B324" s="83"/>
      <c r="C324" s="84"/>
      <c r="D324" s="83"/>
      <c r="E324" s="83"/>
    </row>
    <row r="325" spans="1:5" ht="12.75">
      <c r="A325" s="70"/>
      <c r="B325" s="83"/>
      <c r="C325" s="84"/>
      <c r="D325" s="83"/>
      <c r="E325" s="83"/>
    </row>
    <row r="326" spans="1:5" ht="12.75">
      <c r="A326" s="70"/>
      <c r="B326" s="83"/>
      <c r="C326" s="84"/>
      <c r="D326" s="83"/>
      <c r="E326" s="83"/>
    </row>
    <row r="327" spans="1:5" ht="12.75">
      <c r="A327" s="70"/>
      <c r="B327" s="83"/>
      <c r="C327" s="84"/>
      <c r="D327" s="83"/>
      <c r="E327" s="83"/>
    </row>
    <row r="328" spans="1:5" ht="12.75">
      <c r="A328" s="70"/>
      <c r="B328" s="83"/>
      <c r="C328" s="84"/>
      <c r="D328" s="83"/>
      <c r="E328" s="83"/>
    </row>
    <row r="329" spans="1:5" ht="12.75">
      <c r="A329" s="70"/>
      <c r="B329" s="83"/>
      <c r="C329" s="84"/>
      <c r="D329" s="83"/>
      <c r="E329" s="83"/>
    </row>
    <row r="330" spans="1:5" ht="12.75">
      <c r="A330" s="70"/>
      <c r="B330" s="83"/>
      <c r="C330" s="84"/>
      <c r="D330" s="83"/>
      <c r="E330" s="83"/>
    </row>
    <row r="331" spans="1:5" ht="12.75">
      <c r="A331" s="70"/>
      <c r="B331" s="83"/>
      <c r="C331" s="84"/>
      <c r="D331" s="83"/>
      <c r="E331" s="83"/>
    </row>
    <row r="332" spans="1:5" ht="12.75">
      <c r="A332" s="70"/>
      <c r="B332" s="83"/>
      <c r="C332" s="84"/>
      <c r="D332" s="83"/>
      <c r="E332" s="83"/>
    </row>
    <row r="333" spans="1:5" ht="12.75">
      <c r="A333" s="70"/>
      <c r="B333" s="83"/>
      <c r="C333" s="84"/>
      <c r="D333" s="83"/>
      <c r="E333" s="83"/>
    </row>
    <row r="334" spans="1:5" ht="12.75">
      <c r="A334" s="70"/>
      <c r="B334" s="83"/>
      <c r="C334" s="84"/>
      <c r="D334" s="83"/>
      <c r="E334" s="83"/>
    </row>
    <row r="335" spans="1:5" ht="12.75">
      <c r="A335" s="70"/>
      <c r="B335" s="83"/>
      <c r="C335" s="84"/>
      <c r="D335" s="83"/>
      <c r="E335" s="83"/>
    </row>
    <row r="336" spans="1:5" ht="12.75">
      <c r="A336" s="70"/>
      <c r="B336" s="83"/>
      <c r="C336" s="84"/>
      <c r="D336" s="83"/>
      <c r="E336" s="83"/>
    </row>
    <row r="337" spans="1:5" ht="12.75">
      <c r="A337" s="70"/>
      <c r="B337" s="83"/>
      <c r="C337" s="84"/>
      <c r="D337" s="83"/>
      <c r="E337" s="83"/>
    </row>
    <row r="338" spans="1:5" ht="12.75">
      <c r="A338" s="70"/>
      <c r="B338" s="83"/>
      <c r="C338" s="84"/>
      <c r="D338" s="83"/>
      <c r="E338" s="83"/>
    </row>
    <row r="339" spans="1:5" ht="12.75">
      <c r="A339" s="70"/>
      <c r="B339" s="83"/>
      <c r="C339" s="84"/>
      <c r="D339" s="83"/>
      <c r="E339" s="83"/>
    </row>
    <row r="340" spans="1:5" ht="12.75">
      <c r="A340" s="70"/>
      <c r="B340" s="83"/>
      <c r="C340" s="84"/>
      <c r="D340" s="83"/>
      <c r="E340" s="83"/>
    </row>
    <row r="341" spans="1:5" ht="12.75">
      <c r="A341" s="70"/>
      <c r="B341" s="83"/>
      <c r="C341" s="84"/>
      <c r="D341" s="83"/>
      <c r="E341" s="83"/>
    </row>
    <row r="342" spans="1:5" ht="12.75">
      <c r="A342" s="70"/>
      <c r="B342" s="83"/>
      <c r="C342" s="84"/>
      <c r="D342" s="83"/>
      <c r="E342" s="83"/>
    </row>
    <row r="343" spans="1:5" ht="12.75">
      <c r="A343" s="70"/>
      <c r="B343" s="83"/>
      <c r="C343" s="84"/>
      <c r="D343" s="83"/>
      <c r="E343" s="83"/>
    </row>
    <row r="344" spans="1:5" ht="12.75">
      <c r="A344" s="70"/>
      <c r="B344" s="83"/>
      <c r="C344" s="84"/>
      <c r="D344" s="83"/>
      <c r="E344" s="83"/>
    </row>
    <row r="345" spans="1:5" ht="12.75">
      <c r="A345" s="70"/>
      <c r="B345" s="83"/>
      <c r="C345" s="84"/>
      <c r="D345" s="83"/>
      <c r="E345" s="83"/>
    </row>
    <row r="346" spans="1:5" ht="12.75">
      <c r="A346" s="70"/>
      <c r="B346" s="83"/>
      <c r="C346" s="84"/>
      <c r="D346" s="83"/>
      <c r="E346" s="83"/>
    </row>
    <row r="347" spans="1:5" ht="12.75">
      <c r="A347" s="70"/>
      <c r="B347" s="83"/>
      <c r="C347" s="84"/>
      <c r="D347" s="83"/>
      <c r="E347" s="83"/>
    </row>
    <row r="348" spans="1:5" ht="12.75">
      <c r="A348" s="70"/>
      <c r="B348" s="83"/>
      <c r="C348" s="84"/>
      <c r="D348" s="83"/>
      <c r="E348" s="83"/>
    </row>
    <row r="349" spans="1:5" ht="12.75">
      <c r="A349" s="70"/>
      <c r="B349" s="83"/>
      <c r="C349" s="84"/>
      <c r="D349" s="83"/>
      <c r="E349" s="83"/>
    </row>
    <row r="350" spans="1:5" ht="12.75">
      <c r="A350" s="70"/>
      <c r="B350" s="83"/>
      <c r="C350" s="84"/>
      <c r="D350" s="83"/>
      <c r="E350" s="83"/>
    </row>
    <row r="351" spans="1:5" ht="12.75">
      <c r="A351" s="70"/>
      <c r="B351" s="83"/>
      <c r="C351" s="84"/>
      <c r="D351" s="83"/>
      <c r="E351" s="83"/>
    </row>
    <row r="352" spans="1:5" ht="12.75">
      <c r="A352" s="70"/>
      <c r="B352" s="83"/>
      <c r="C352" s="84"/>
      <c r="D352" s="83"/>
      <c r="E352" s="83"/>
    </row>
    <row r="353" spans="1:5" ht="12.75">
      <c r="A353" s="70"/>
      <c r="B353" s="83"/>
      <c r="C353" s="84"/>
      <c r="D353" s="83"/>
      <c r="E353" s="83"/>
    </row>
    <row r="354" spans="1:5" ht="12.75">
      <c r="A354" s="70"/>
      <c r="B354" s="83"/>
      <c r="C354" s="84"/>
      <c r="D354" s="83"/>
      <c r="E354" s="83"/>
    </row>
    <row r="355" spans="1:5" ht="12.75">
      <c r="A355" s="70"/>
      <c r="B355" s="83"/>
      <c r="C355" s="84"/>
      <c r="D355" s="83"/>
      <c r="E355" s="83"/>
    </row>
    <row r="356" spans="1:5" ht="12.75">
      <c r="A356" s="70"/>
      <c r="B356" s="83"/>
      <c r="C356" s="84"/>
      <c r="D356" s="83"/>
      <c r="E356" s="83"/>
    </row>
    <row r="357" spans="1:5" ht="12.75">
      <c r="A357" s="70"/>
      <c r="B357" s="83"/>
      <c r="C357" s="84"/>
      <c r="D357" s="83"/>
      <c r="E357" s="83"/>
    </row>
    <row r="358" spans="1:5" ht="12.75">
      <c r="A358" s="70"/>
      <c r="B358" s="83"/>
      <c r="C358" s="84"/>
      <c r="D358" s="83"/>
      <c r="E358" s="83"/>
    </row>
    <row r="359" spans="1:5" ht="12.75">
      <c r="A359" s="70"/>
      <c r="B359" s="83"/>
      <c r="C359" s="84"/>
      <c r="D359" s="83"/>
      <c r="E359" s="83"/>
    </row>
    <row r="360" spans="1:5" ht="12.75">
      <c r="A360" s="70"/>
      <c r="B360" s="83"/>
      <c r="C360" s="84"/>
      <c r="D360" s="83"/>
      <c r="E360" s="83"/>
    </row>
    <row r="361" spans="1:5" ht="12.75">
      <c r="A361" s="70"/>
      <c r="B361" s="83"/>
      <c r="C361" s="84"/>
      <c r="D361" s="83"/>
      <c r="E361" s="83"/>
    </row>
    <row r="362" spans="1:5" ht="12.75">
      <c r="A362" s="70"/>
      <c r="B362" s="83"/>
      <c r="C362" s="84"/>
      <c r="D362" s="83"/>
      <c r="E362" s="83"/>
    </row>
    <row r="363" spans="1:5" ht="12.75">
      <c r="A363" s="70"/>
      <c r="B363" s="83"/>
      <c r="C363" s="84"/>
      <c r="D363" s="83"/>
      <c r="E363" s="83"/>
    </row>
    <row r="364" spans="1:5" ht="12.75">
      <c r="A364" s="70"/>
      <c r="B364" s="83"/>
      <c r="C364" s="84"/>
      <c r="D364" s="83"/>
      <c r="E364" s="83"/>
    </row>
    <row r="365" spans="1:5" ht="12.75">
      <c r="A365" s="70"/>
      <c r="B365" s="83"/>
      <c r="C365" s="84"/>
      <c r="D365" s="83"/>
      <c r="E365" s="83"/>
    </row>
    <row r="366" spans="1:5" ht="12.75">
      <c r="A366" s="70"/>
      <c r="B366" s="83"/>
      <c r="C366" s="84"/>
      <c r="D366" s="83"/>
      <c r="E366" s="83"/>
    </row>
    <row r="367" spans="1:5" ht="12.75">
      <c r="A367" s="70"/>
      <c r="B367" s="83"/>
      <c r="C367" s="84"/>
      <c r="D367" s="83"/>
      <c r="E367" s="83"/>
    </row>
    <row r="368" spans="1:5" ht="12.75">
      <c r="A368" s="70"/>
      <c r="B368" s="83"/>
      <c r="C368" s="84"/>
      <c r="D368" s="83"/>
      <c r="E368" s="83"/>
    </row>
    <row r="369" spans="1:5" ht="12.75">
      <c r="A369" s="70"/>
      <c r="B369" s="83"/>
      <c r="C369" s="84"/>
      <c r="D369" s="83"/>
      <c r="E369" s="83"/>
    </row>
    <row r="370" spans="1:5" ht="12.75">
      <c r="A370" s="70"/>
      <c r="B370" s="83"/>
      <c r="C370" s="84"/>
      <c r="D370" s="83"/>
      <c r="E370" s="83"/>
    </row>
    <row r="371" spans="1:5" ht="12.75">
      <c r="A371" s="70"/>
      <c r="B371" s="83"/>
      <c r="C371" s="84"/>
      <c r="D371" s="83"/>
      <c r="E371" s="83"/>
    </row>
    <row r="372" spans="1:5" ht="12.75">
      <c r="A372" s="70"/>
      <c r="B372" s="83"/>
      <c r="C372" s="84"/>
      <c r="D372" s="83"/>
      <c r="E372" s="83"/>
    </row>
    <row r="373" spans="1:5" ht="12.75">
      <c r="A373" s="70"/>
      <c r="B373" s="83"/>
      <c r="C373" s="84"/>
      <c r="D373" s="83"/>
      <c r="E373" s="83"/>
    </row>
    <row r="374" spans="1:5" ht="12.75">
      <c r="A374" s="70"/>
      <c r="B374" s="83"/>
      <c r="C374" s="84"/>
      <c r="D374" s="83"/>
      <c r="E374" s="83"/>
    </row>
    <row r="375" spans="1:5" ht="12.75">
      <c r="A375" s="70"/>
      <c r="B375" s="83"/>
      <c r="C375" s="84"/>
      <c r="D375" s="83"/>
      <c r="E375" s="83"/>
    </row>
    <row r="376" spans="1:5" ht="12.75">
      <c r="A376" s="70"/>
      <c r="B376" s="83"/>
      <c r="C376" s="84"/>
      <c r="D376" s="83"/>
      <c r="E376" s="83"/>
    </row>
    <row r="377" spans="1:5" ht="12.75">
      <c r="A377" s="70"/>
      <c r="B377" s="83"/>
      <c r="C377" s="84"/>
      <c r="D377" s="83"/>
      <c r="E377" s="83"/>
    </row>
    <row r="378" spans="1:5" ht="12.75">
      <c r="A378" s="70"/>
      <c r="B378" s="83"/>
      <c r="C378" s="84"/>
      <c r="D378" s="83"/>
      <c r="E378" s="83"/>
    </row>
    <row r="379" spans="1:5" ht="12.75">
      <c r="A379" s="70"/>
      <c r="B379" s="83"/>
      <c r="C379" s="84"/>
      <c r="D379" s="83"/>
      <c r="E379" s="83"/>
    </row>
    <row r="380" spans="1:5" ht="12.75">
      <c r="A380" s="70"/>
      <c r="B380" s="83"/>
      <c r="C380" s="84"/>
      <c r="D380" s="83"/>
      <c r="E380" s="83"/>
    </row>
    <row r="381" spans="1:5" ht="12.75">
      <c r="A381" s="70"/>
      <c r="B381" s="83"/>
      <c r="C381" s="84"/>
      <c r="D381" s="83"/>
      <c r="E381" s="83"/>
    </row>
    <row r="382" spans="1:5" ht="12.75">
      <c r="A382" s="70"/>
      <c r="B382" s="83"/>
      <c r="C382" s="84"/>
      <c r="D382" s="83"/>
      <c r="E382" s="83"/>
    </row>
    <row r="383" spans="1:5" ht="12.75">
      <c r="A383" s="70"/>
      <c r="B383" s="83"/>
      <c r="C383" s="84"/>
      <c r="D383" s="83"/>
      <c r="E383" s="83"/>
    </row>
    <row r="384" spans="1:5" ht="12.75">
      <c r="A384" s="70"/>
      <c r="B384" s="83"/>
      <c r="C384" s="84"/>
      <c r="D384" s="83"/>
      <c r="E384" s="83"/>
    </row>
    <row r="385" spans="1:5" ht="12.75">
      <c r="A385" s="70"/>
      <c r="B385" s="83"/>
      <c r="C385" s="84"/>
      <c r="D385" s="83"/>
      <c r="E385" s="83"/>
    </row>
    <row r="386" spans="1:5" ht="12.75">
      <c r="A386" s="70"/>
      <c r="B386" s="83"/>
      <c r="C386" s="84"/>
      <c r="D386" s="83"/>
      <c r="E386" s="83"/>
    </row>
    <row r="387" spans="1:5" ht="12.75">
      <c r="A387" s="70"/>
      <c r="B387" s="83"/>
      <c r="C387" s="84"/>
      <c r="D387" s="83"/>
      <c r="E387" s="83"/>
    </row>
    <row r="388" spans="1:5" ht="12.75">
      <c r="A388" s="70"/>
      <c r="B388" s="83"/>
      <c r="C388" s="84"/>
      <c r="D388" s="83"/>
      <c r="E388" s="83"/>
    </row>
    <row r="389" spans="1:5" ht="12.75">
      <c r="A389" s="70"/>
      <c r="B389" s="83"/>
      <c r="C389" s="84"/>
      <c r="D389" s="83"/>
      <c r="E389" s="83"/>
    </row>
    <row r="390" spans="1:5" ht="12.75">
      <c r="A390" s="70"/>
      <c r="B390" s="83"/>
      <c r="C390" s="84"/>
      <c r="D390" s="83"/>
      <c r="E390" s="83"/>
    </row>
    <row r="391" spans="1:5" ht="12.75">
      <c r="A391" s="70"/>
      <c r="B391" s="83"/>
      <c r="C391" s="84"/>
      <c r="D391" s="83"/>
      <c r="E391" s="83"/>
    </row>
    <row r="392" spans="1:5" ht="12.75">
      <c r="A392" s="70"/>
      <c r="B392" s="83"/>
      <c r="C392" s="84"/>
      <c r="D392" s="83"/>
      <c r="E392" s="83"/>
    </row>
    <row r="393" spans="1:5" ht="12.75">
      <c r="A393" s="70"/>
      <c r="B393" s="83"/>
      <c r="C393" s="84"/>
      <c r="D393" s="83"/>
      <c r="E393" s="83"/>
    </row>
    <row r="394" spans="1:5" ht="12.75">
      <c r="A394" s="70"/>
      <c r="B394" s="83"/>
      <c r="C394" s="84"/>
      <c r="D394" s="83"/>
      <c r="E394" s="83"/>
    </row>
    <row r="395" spans="1:5" ht="12.75">
      <c r="A395" s="70"/>
      <c r="B395" s="83"/>
      <c r="C395" s="84"/>
      <c r="D395" s="83"/>
      <c r="E395" s="83"/>
    </row>
    <row r="396" spans="1:5" ht="12.75">
      <c r="A396" s="70"/>
      <c r="B396" s="83"/>
      <c r="C396" s="84"/>
      <c r="D396" s="83"/>
      <c r="E396" s="83"/>
    </row>
    <row r="397" spans="1:5" ht="12.75">
      <c r="A397" s="70"/>
      <c r="B397" s="83"/>
      <c r="C397" s="84"/>
      <c r="D397" s="83"/>
      <c r="E397" s="83"/>
    </row>
    <row r="398" spans="1:5" ht="12.75">
      <c r="A398" s="70"/>
      <c r="B398" s="83"/>
      <c r="C398" s="84"/>
      <c r="D398" s="83"/>
      <c r="E398" s="83"/>
    </row>
    <row r="399" spans="1:5" ht="12.75">
      <c r="A399" s="70"/>
      <c r="B399" s="83"/>
      <c r="C399" s="84"/>
      <c r="D399" s="83"/>
      <c r="E399" s="83"/>
    </row>
    <row r="400" spans="1:5" ht="12.75">
      <c r="A400" s="70"/>
      <c r="B400" s="83"/>
      <c r="C400" s="84"/>
      <c r="D400" s="83"/>
      <c r="E400" s="83"/>
    </row>
    <row r="401" spans="1:5" ht="12.75">
      <c r="A401" s="70"/>
      <c r="B401" s="83"/>
      <c r="C401" s="84"/>
      <c r="D401" s="83"/>
      <c r="E401" s="83"/>
    </row>
    <row r="402" spans="1:5" ht="12.75">
      <c r="A402" s="70"/>
      <c r="B402" s="83"/>
      <c r="C402" s="84"/>
      <c r="D402" s="83"/>
      <c r="E402" s="83"/>
    </row>
    <row r="403" spans="1:5" ht="12.75">
      <c r="A403" s="70"/>
      <c r="B403" s="83"/>
      <c r="C403" s="84"/>
      <c r="D403" s="83"/>
      <c r="E403" s="83"/>
    </row>
    <row r="404" spans="1:5" ht="12.75">
      <c r="A404" s="70"/>
      <c r="B404" s="83"/>
      <c r="C404" s="84"/>
      <c r="D404" s="83"/>
      <c r="E404" s="83"/>
    </row>
    <row r="405" spans="1:5" ht="12.75">
      <c r="A405" s="70"/>
      <c r="B405" s="83"/>
      <c r="C405" s="84"/>
      <c r="D405" s="83"/>
      <c r="E405" s="83"/>
    </row>
    <row r="406" spans="1:5" ht="12.75">
      <c r="A406" s="70"/>
      <c r="B406" s="83"/>
      <c r="C406" s="84"/>
      <c r="D406" s="83"/>
      <c r="E406" s="83"/>
    </row>
    <row r="407" spans="1:5" ht="12.75">
      <c r="A407" s="70"/>
      <c r="B407" s="83"/>
      <c r="C407" s="84"/>
      <c r="D407" s="83"/>
      <c r="E407" s="83"/>
    </row>
    <row r="408" spans="1:5" ht="12.75">
      <c r="A408" s="70"/>
      <c r="B408" s="83"/>
      <c r="C408" s="84"/>
      <c r="D408" s="83"/>
      <c r="E408" s="83"/>
    </row>
    <row r="409" spans="1:5" ht="12.75">
      <c r="A409" s="70"/>
      <c r="B409" s="83"/>
      <c r="C409" s="84"/>
      <c r="D409" s="83"/>
      <c r="E409" s="83"/>
    </row>
    <row r="410" spans="1:5" ht="12.75">
      <c r="A410" s="70"/>
      <c r="B410" s="83"/>
      <c r="C410" s="84"/>
      <c r="D410" s="83"/>
      <c r="E410" s="83"/>
    </row>
    <row r="411" spans="1:5" ht="12.75">
      <c r="A411" s="70"/>
      <c r="B411" s="83"/>
      <c r="C411" s="84"/>
      <c r="D411" s="83"/>
      <c r="E411" s="83"/>
    </row>
    <row r="412" spans="1:5" ht="12.75">
      <c r="A412" s="70"/>
      <c r="B412" s="83"/>
      <c r="C412" s="84"/>
      <c r="D412" s="83"/>
      <c r="E412" s="83"/>
    </row>
    <row r="413" spans="1:5" ht="12.75">
      <c r="A413" s="70"/>
      <c r="B413" s="83"/>
      <c r="C413" s="84"/>
      <c r="D413" s="83"/>
      <c r="E413" s="83"/>
    </row>
    <row r="414" spans="1:5" ht="12.75">
      <c r="A414" s="70"/>
      <c r="B414" s="83"/>
      <c r="C414" s="84"/>
      <c r="D414" s="83"/>
      <c r="E414" s="83"/>
    </row>
    <row r="415" spans="1:5" ht="12.75">
      <c r="A415" s="70"/>
      <c r="B415" s="83"/>
      <c r="C415" s="84"/>
      <c r="D415" s="83"/>
      <c r="E415" s="83"/>
    </row>
    <row r="416" spans="1:5" ht="12.75">
      <c r="A416" s="70"/>
      <c r="B416" s="83"/>
      <c r="C416" s="84"/>
      <c r="D416" s="83"/>
      <c r="E416" s="83"/>
    </row>
    <row r="417" spans="1:5" ht="12.75">
      <c r="A417" s="70"/>
      <c r="B417" s="83"/>
      <c r="C417" s="84"/>
      <c r="D417" s="83"/>
      <c r="E417" s="83"/>
    </row>
    <row r="418" spans="1:5" ht="12.75">
      <c r="A418" s="70"/>
      <c r="B418" s="83"/>
      <c r="C418" s="84"/>
      <c r="D418" s="83"/>
      <c r="E418" s="83"/>
    </row>
    <row r="419" spans="1:5" ht="12.75">
      <c r="A419" s="70"/>
      <c r="B419" s="83"/>
      <c r="C419" s="84"/>
      <c r="D419" s="83"/>
      <c r="E419" s="83"/>
    </row>
    <row r="420" spans="1:5" ht="12.75">
      <c r="A420" s="70"/>
      <c r="B420" s="83"/>
      <c r="C420" s="84"/>
      <c r="D420" s="83"/>
      <c r="E420" s="83"/>
    </row>
    <row r="421" spans="1:5" ht="12.75">
      <c r="A421" s="70"/>
      <c r="B421" s="83"/>
      <c r="C421" s="84"/>
      <c r="D421" s="83"/>
      <c r="E421" s="83"/>
    </row>
    <row r="422" spans="1:5" ht="12.75">
      <c r="A422" s="70"/>
      <c r="B422" s="83"/>
      <c r="C422" s="84"/>
      <c r="D422" s="83"/>
      <c r="E422" s="83"/>
    </row>
    <row r="423" spans="1:5" ht="12.75">
      <c r="A423" s="70"/>
      <c r="B423" s="83"/>
      <c r="C423" s="84"/>
      <c r="D423" s="83"/>
      <c r="E423" s="83"/>
    </row>
    <row r="424" spans="1:5" ht="12.75">
      <c r="A424" s="70"/>
      <c r="B424" s="83"/>
      <c r="C424" s="84"/>
      <c r="D424" s="83"/>
      <c r="E424" s="83"/>
    </row>
    <row r="425" spans="1:5" ht="12.75">
      <c r="A425" s="70"/>
      <c r="B425" s="83"/>
      <c r="C425" s="84"/>
      <c r="D425" s="83"/>
      <c r="E425" s="83"/>
    </row>
    <row r="426" spans="1:5" ht="12.75">
      <c r="A426" s="70"/>
      <c r="B426" s="83"/>
      <c r="C426" s="84"/>
      <c r="D426" s="83"/>
      <c r="E426" s="83"/>
    </row>
    <row r="427" spans="1:5" ht="12.75">
      <c r="A427" s="70"/>
      <c r="B427" s="83"/>
      <c r="C427" s="84"/>
      <c r="D427" s="83"/>
      <c r="E427" s="83"/>
    </row>
    <row r="428" spans="1:5" ht="12.75">
      <c r="A428" s="70"/>
      <c r="B428" s="83"/>
      <c r="C428" s="84"/>
      <c r="D428" s="83"/>
      <c r="E428" s="83"/>
    </row>
    <row r="429" spans="1:5" ht="12.75">
      <c r="A429" s="70"/>
      <c r="B429" s="83"/>
      <c r="C429" s="84"/>
      <c r="D429" s="83"/>
      <c r="E429" s="83"/>
    </row>
    <row r="430" spans="1:5" ht="12.75">
      <c r="A430" s="70"/>
      <c r="B430" s="83"/>
      <c r="C430" s="84"/>
      <c r="D430" s="83"/>
      <c r="E430" s="83"/>
    </row>
    <row r="431" spans="1:5" ht="12.75">
      <c r="A431" s="70"/>
      <c r="B431" s="83"/>
      <c r="C431" s="84"/>
      <c r="D431" s="83"/>
      <c r="E431" s="83"/>
    </row>
    <row r="432" spans="1:5" ht="12.75">
      <c r="A432" s="70"/>
      <c r="B432" s="83"/>
      <c r="C432" s="84"/>
      <c r="D432" s="83"/>
      <c r="E432" s="83"/>
    </row>
    <row r="433" spans="1:5" ht="12.75">
      <c r="A433" s="70"/>
      <c r="B433" s="83"/>
      <c r="C433" s="84"/>
      <c r="D433" s="83"/>
      <c r="E433" s="83"/>
    </row>
    <row r="434" spans="1:5" ht="12.75">
      <c r="A434" s="70"/>
      <c r="B434" s="83"/>
      <c r="C434" s="84"/>
      <c r="D434" s="83"/>
      <c r="E434" s="83"/>
    </row>
    <row r="435" spans="1:5" ht="12.75">
      <c r="A435" s="70"/>
      <c r="B435" s="83"/>
      <c r="C435" s="84"/>
      <c r="D435" s="83"/>
      <c r="E435" s="83"/>
    </row>
    <row r="436" spans="1:5" ht="12.75">
      <c r="A436" s="70"/>
      <c r="B436" s="83"/>
      <c r="C436" s="84"/>
      <c r="D436" s="83"/>
      <c r="E436" s="83"/>
    </row>
    <row r="437" spans="1:5" ht="12.75">
      <c r="A437" s="70"/>
      <c r="B437" s="83"/>
      <c r="C437" s="84"/>
      <c r="D437" s="83"/>
      <c r="E437" s="83"/>
    </row>
    <row r="438" spans="1:5" ht="12.75">
      <c r="A438" s="70"/>
      <c r="B438" s="83"/>
      <c r="C438" s="84"/>
      <c r="D438" s="83"/>
      <c r="E438" s="83"/>
    </row>
    <row r="439" spans="1:5" ht="12.75">
      <c r="A439" s="70"/>
      <c r="B439" s="83"/>
      <c r="C439" s="84"/>
      <c r="D439" s="83"/>
      <c r="E439" s="83"/>
    </row>
    <row r="440" spans="1:5" ht="12.75">
      <c r="A440" s="70"/>
      <c r="B440" s="83"/>
      <c r="C440" s="84"/>
      <c r="D440" s="83"/>
      <c r="E440" s="83"/>
    </row>
    <row r="441" spans="1:5" ht="12.75">
      <c r="A441" s="70"/>
      <c r="B441" s="83"/>
      <c r="C441" s="84"/>
      <c r="D441" s="83"/>
      <c r="E441" s="83"/>
    </row>
    <row r="442" spans="1:5" ht="12.75">
      <c r="A442" s="70"/>
      <c r="B442" s="83"/>
      <c r="C442" s="84"/>
      <c r="D442" s="83"/>
      <c r="E442" s="83"/>
    </row>
    <row r="443" spans="1:5" ht="12.75">
      <c r="A443" s="70"/>
      <c r="B443" s="83"/>
      <c r="C443" s="84"/>
      <c r="D443" s="83"/>
      <c r="E443" s="83"/>
    </row>
    <row r="444" spans="1:5" ht="12.75">
      <c r="A444" s="70"/>
      <c r="B444" s="83"/>
      <c r="C444" s="84"/>
      <c r="D444" s="83"/>
      <c r="E444" s="83"/>
    </row>
    <row r="445" spans="1:5" ht="12.75">
      <c r="A445" s="70"/>
      <c r="B445" s="83"/>
      <c r="C445" s="84"/>
      <c r="D445" s="83"/>
      <c r="E445" s="83"/>
    </row>
    <row r="446" spans="1:5" ht="12.75">
      <c r="A446" s="70"/>
      <c r="B446" s="83"/>
      <c r="C446" s="84"/>
      <c r="D446" s="83"/>
      <c r="E446" s="83"/>
    </row>
    <row r="447" spans="1:5" ht="12.75">
      <c r="A447" s="70"/>
      <c r="B447" s="83"/>
      <c r="C447" s="84"/>
      <c r="D447" s="83"/>
      <c r="E447" s="83"/>
    </row>
    <row r="448" spans="1:5" ht="12.75">
      <c r="A448" s="70"/>
      <c r="B448" s="83"/>
      <c r="C448" s="84"/>
      <c r="D448" s="83"/>
      <c r="E448" s="83"/>
    </row>
    <row r="449" spans="1:5" ht="12.75">
      <c r="A449" s="70"/>
      <c r="B449" s="83"/>
      <c r="C449" s="84"/>
      <c r="D449" s="83"/>
      <c r="E449" s="83"/>
    </row>
    <row r="450" spans="1:5" ht="12.75">
      <c r="A450" s="70"/>
      <c r="B450" s="83"/>
      <c r="C450" s="84"/>
      <c r="D450" s="83"/>
      <c r="E450" s="83"/>
    </row>
    <row r="451" spans="1:5" ht="12.75">
      <c r="A451" s="70"/>
      <c r="B451" s="83"/>
      <c r="C451" s="84"/>
      <c r="D451" s="83"/>
      <c r="E451" s="83"/>
    </row>
    <row r="452" spans="1:5" ht="12.75">
      <c r="A452" s="70"/>
      <c r="B452" s="83"/>
      <c r="C452" s="84"/>
      <c r="D452" s="83"/>
      <c r="E452" s="83"/>
    </row>
    <row r="453" spans="1:5" ht="12.75">
      <c r="A453" s="70"/>
      <c r="B453" s="83"/>
      <c r="C453" s="84"/>
      <c r="D453" s="83"/>
      <c r="E453" s="83"/>
    </row>
    <row r="454" spans="1:5" ht="12.75">
      <c r="A454" s="70"/>
      <c r="B454" s="83"/>
      <c r="C454" s="84"/>
      <c r="D454" s="83"/>
      <c r="E454" s="83"/>
    </row>
    <row r="455" spans="1:5" ht="12.75">
      <c r="A455" s="70"/>
      <c r="B455" s="83"/>
      <c r="C455" s="84"/>
      <c r="D455" s="83"/>
      <c r="E455" s="83"/>
    </row>
    <row r="456" spans="1:5" ht="12.75">
      <c r="A456" s="70"/>
      <c r="B456" s="83"/>
      <c r="C456" s="84"/>
      <c r="D456" s="83"/>
      <c r="E456" s="83"/>
    </row>
    <row r="457" spans="1:5" ht="12.75">
      <c r="A457" s="70"/>
      <c r="B457" s="83"/>
      <c r="C457" s="84"/>
      <c r="D457" s="83"/>
      <c r="E457" s="83"/>
    </row>
    <row r="458" spans="1:5" ht="12.75">
      <c r="A458" s="70"/>
      <c r="B458" s="83"/>
      <c r="C458" s="84"/>
      <c r="D458" s="83"/>
      <c r="E458" s="83"/>
    </row>
    <row r="459" spans="1:5" ht="12.75">
      <c r="A459" s="70"/>
      <c r="B459" s="83"/>
      <c r="C459" s="84"/>
      <c r="D459" s="83"/>
      <c r="E459" s="83"/>
    </row>
    <row r="460" spans="1:5" ht="12.75">
      <c r="A460" s="70"/>
      <c r="B460" s="83"/>
      <c r="C460" s="84"/>
      <c r="D460" s="83"/>
      <c r="E460" s="83"/>
    </row>
    <row r="461" spans="1:5" ht="12.75">
      <c r="A461" s="70"/>
      <c r="B461" s="83"/>
      <c r="C461" s="84"/>
      <c r="D461" s="83"/>
      <c r="E461" s="83"/>
    </row>
    <row r="462" spans="1:5" ht="12.75">
      <c r="A462" s="70"/>
      <c r="B462" s="83"/>
      <c r="C462" s="84"/>
      <c r="D462" s="83"/>
      <c r="E462" s="83"/>
    </row>
    <row r="463" spans="1:5" ht="12.75">
      <c r="A463" s="70"/>
      <c r="B463" s="83"/>
      <c r="C463" s="84"/>
      <c r="D463" s="83"/>
      <c r="E463" s="83"/>
    </row>
    <row r="464" spans="1:5" ht="12.75">
      <c r="A464" s="70"/>
      <c r="B464" s="83"/>
      <c r="C464" s="84"/>
      <c r="D464" s="83"/>
      <c r="E464" s="83"/>
    </row>
    <row r="465" spans="1:5" ht="12.75">
      <c r="A465" s="70"/>
      <c r="B465" s="83"/>
      <c r="C465" s="84"/>
      <c r="D465" s="83"/>
      <c r="E465" s="83"/>
    </row>
    <row r="466" spans="1:5" ht="12.75">
      <c r="A466" s="70"/>
      <c r="B466" s="83"/>
      <c r="C466" s="84"/>
      <c r="D466" s="83"/>
      <c r="E466" s="83"/>
    </row>
    <row r="467" spans="1:5" ht="12.75">
      <c r="A467" s="70"/>
      <c r="B467" s="83"/>
      <c r="C467" s="84"/>
      <c r="D467" s="83"/>
      <c r="E467" s="83"/>
    </row>
    <row r="468" spans="1:5" ht="12.75">
      <c r="A468" s="70"/>
      <c r="B468" s="83"/>
      <c r="C468" s="84"/>
      <c r="D468" s="83"/>
      <c r="E468" s="83"/>
    </row>
    <row r="469" spans="1:5" ht="12.75">
      <c r="A469" s="70"/>
      <c r="B469" s="83"/>
      <c r="C469" s="84"/>
      <c r="D469" s="83"/>
      <c r="E469" s="83"/>
    </row>
    <row r="470" spans="1:5" ht="12.75">
      <c r="A470" s="70"/>
      <c r="B470" s="83"/>
      <c r="C470" s="84"/>
      <c r="D470" s="83"/>
      <c r="E470" s="83"/>
    </row>
    <row r="471" spans="1:5" ht="12.75">
      <c r="A471" s="70"/>
      <c r="B471" s="83"/>
      <c r="C471" s="84"/>
      <c r="D471" s="83"/>
      <c r="E471" s="83"/>
    </row>
    <row r="472" spans="1:5" ht="12.75">
      <c r="A472" s="70"/>
      <c r="B472" s="83"/>
      <c r="C472" s="84"/>
      <c r="D472" s="83"/>
      <c r="E472" s="83"/>
    </row>
    <row r="473" spans="1:5" ht="12.75">
      <c r="A473" s="70"/>
      <c r="B473" s="83"/>
      <c r="C473" s="84"/>
      <c r="D473" s="83"/>
      <c r="E473" s="83"/>
    </row>
    <row r="474" spans="1:5" ht="12.75">
      <c r="A474" s="70"/>
      <c r="B474" s="83"/>
      <c r="C474" s="84"/>
      <c r="D474" s="83"/>
      <c r="E474" s="83"/>
    </row>
    <row r="475" spans="1:5" ht="12.75">
      <c r="A475" s="70"/>
      <c r="B475" s="83"/>
      <c r="C475" s="84"/>
      <c r="D475" s="83"/>
      <c r="E475" s="83"/>
    </row>
    <row r="476" spans="1:5" ht="12.75">
      <c r="A476" s="70"/>
      <c r="B476" s="83"/>
      <c r="C476" s="84"/>
      <c r="D476" s="83"/>
      <c r="E476" s="83"/>
    </row>
    <row r="477" spans="1:5" ht="12.75">
      <c r="A477" s="70"/>
      <c r="B477" s="83"/>
      <c r="C477" s="84"/>
      <c r="D477" s="83"/>
      <c r="E477" s="83"/>
    </row>
    <row r="478" spans="1:5" ht="12.75">
      <c r="A478" s="70"/>
      <c r="B478" s="83"/>
      <c r="C478" s="84"/>
      <c r="D478" s="83"/>
      <c r="E478" s="83"/>
    </row>
    <row r="479" spans="1:5" ht="12.75">
      <c r="A479" s="70"/>
      <c r="B479" s="83"/>
      <c r="C479" s="84"/>
      <c r="D479" s="83"/>
      <c r="E479" s="83"/>
    </row>
    <row r="480" spans="1:5" ht="12.75">
      <c r="A480" s="70"/>
      <c r="B480" s="83"/>
      <c r="C480" s="84"/>
      <c r="D480" s="83"/>
      <c r="E480" s="83"/>
    </row>
    <row r="481" spans="1:5" ht="12.75">
      <c r="A481" s="70"/>
      <c r="B481" s="83"/>
      <c r="C481" s="84"/>
      <c r="D481" s="83"/>
      <c r="E481" s="83"/>
    </row>
    <row r="482" spans="1:5" ht="12.75">
      <c r="A482" s="70"/>
      <c r="B482" s="83"/>
      <c r="C482" s="84"/>
      <c r="D482" s="83"/>
      <c r="E482" s="83"/>
    </row>
    <row r="483" spans="1:5" ht="12.75">
      <c r="A483" s="70"/>
      <c r="B483" s="83"/>
      <c r="C483" s="84"/>
      <c r="D483" s="83"/>
      <c r="E483" s="83"/>
    </row>
    <row r="484" spans="1:5" ht="12.75">
      <c r="A484" s="70"/>
      <c r="B484" s="83"/>
      <c r="C484" s="84"/>
      <c r="D484" s="83"/>
      <c r="E484" s="83"/>
    </row>
    <row r="485" spans="1:5" ht="12.75">
      <c r="A485" s="70"/>
      <c r="B485" s="83"/>
      <c r="C485" s="84"/>
      <c r="D485" s="83"/>
      <c r="E485" s="83"/>
    </row>
    <row r="486" spans="1:5" ht="12.75">
      <c r="A486" s="70"/>
      <c r="B486" s="83"/>
      <c r="C486" s="84"/>
      <c r="D486" s="83"/>
      <c r="E486" s="83"/>
    </row>
    <row r="487" spans="1:5" ht="12.75">
      <c r="A487" s="70"/>
      <c r="B487" s="83"/>
      <c r="C487" s="84"/>
      <c r="D487" s="83"/>
      <c r="E487" s="83"/>
    </row>
    <row r="488" spans="1:5" ht="12.75">
      <c r="A488" s="70"/>
      <c r="B488" s="83"/>
      <c r="C488" s="84"/>
      <c r="D488" s="83"/>
      <c r="E488" s="83"/>
    </row>
    <row r="489" spans="1:5" ht="12.75">
      <c r="A489" s="70"/>
      <c r="B489" s="83"/>
      <c r="C489" s="84"/>
      <c r="D489" s="83"/>
      <c r="E489" s="83"/>
    </row>
    <row r="490" spans="1:5" ht="12.75">
      <c r="A490" s="70"/>
      <c r="B490" s="83"/>
      <c r="C490" s="84"/>
      <c r="D490" s="83"/>
      <c r="E490" s="83"/>
    </row>
    <row r="491" spans="1:5" ht="12.75">
      <c r="A491" s="70"/>
      <c r="B491" s="83"/>
      <c r="C491" s="84"/>
      <c r="D491" s="83"/>
      <c r="E491" s="83"/>
    </row>
    <row r="492" spans="1:5" ht="12.75">
      <c r="A492" s="70"/>
      <c r="B492" s="83"/>
      <c r="C492" s="84"/>
      <c r="D492" s="83"/>
      <c r="E492" s="83"/>
    </row>
    <row r="493" spans="1:5" ht="12.75">
      <c r="A493" s="70"/>
      <c r="B493" s="83"/>
      <c r="C493" s="84"/>
      <c r="D493" s="83"/>
      <c r="E493" s="83"/>
    </row>
    <row r="494" spans="1:5" ht="12.75">
      <c r="A494" s="70"/>
      <c r="B494" s="83"/>
      <c r="C494" s="84"/>
      <c r="D494" s="83"/>
      <c r="E494" s="83"/>
    </row>
    <row r="495" spans="1:5" ht="12.75">
      <c r="A495" s="70"/>
      <c r="B495" s="83"/>
      <c r="C495" s="84"/>
      <c r="D495" s="83"/>
      <c r="E495" s="83"/>
    </row>
    <row r="496" spans="1:5" ht="12.75">
      <c r="A496" s="70"/>
      <c r="B496" s="83"/>
      <c r="C496" s="84"/>
      <c r="D496" s="83"/>
      <c r="E496" s="83"/>
    </row>
    <row r="497" spans="1:5" ht="12.75">
      <c r="A497" s="70"/>
      <c r="B497" s="83"/>
      <c r="C497" s="84"/>
      <c r="D497" s="83"/>
      <c r="E497" s="83"/>
    </row>
    <row r="498" spans="1:5" ht="12.75">
      <c r="A498" s="70"/>
      <c r="B498" s="83"/>
      <c r="C498" s="84"/>
      <c r="D498" s="83"/>
      <c r="E498" s="83"/>
    </row>
    <row r="499" spans="1:5" ht="12.75">
      <c r="A499" s="70"/>
      <c r="B499" s="83"/>
      <c r="C499" s="84"/>
      <c r="D499" s="83"/>
      <c r="E499" s="83"/>
    </row>
    <row r="500" spans="1:5" ht="12.75">
      <c r="A500" s="70"/>
      <c r="B500" s="83"/>
      <c r="C500" s="84"/>
      <c r="D500" s="83"/>
      <c r="E500" s="83"/>
    </row>
    <row r="501" spans="1:5" ht="12.75">
      <c r="A501" s="70"/>
      <c r="B501" s="83"/>
      <c r="C501" s="84"/>
      <c r="D501" s="83"/>
      <c r="E501" s="83"/>
    </row>
    <row r="502" spans="1:5" ht="12.75">
      <c r="A502" s="70"/>
      <c r="B502" s="83"/>
      <c r="C502" s="84"/>
      <c r="D502" s="83"/>
      <c r="E502" s="83"/>
    </row>
    <row r="503" spans="1:5" ht="12.75">
      <c r="A503" s="70"/>
      <c r="B503" s="83"/>
      <c r="C503" s="84"/>
      <c r="D503" s="83"/>
      <c r="E503" s="83"/>
    </row>
    <row r="504" spans="1:5" ht="12.75">
      <c r="A504" s="70"/>
      <c r="B504" s="83"/>
      <c r="C504" s="84"/>
      <c r="D504" s="83"/>
      <c r="E504" s="83"/>
    </row>
    <row r="505" spans="1:5" ht="12.75">
      <c r="A505" s="70"/>
      <c r="B505" s="83"/>
      <c r="C505" s="84"/>
      <c r="D505" s="83"/>
      <c r="E505" s="83"/>
    </row>
    <row r="506" spans="1:5" ht="12.75">
      <c r="A506" s="70"/>
      <c r="B506" s="83"/>
      <c r="C506" s="84"/>
      <c r="D506" s="83"/>
      <c r="E506" s="83"/>
    </row>
    <row r="507" spans="1:5" ht="12.75">
      <c r="A507" s="70"/>
      <c r="B507" s="83"/>
      <c r="C507" s="84"/>
      <c r="D507" s="83"/>
      <c r="E507" s="83"/>
    </row>
    <row r="508" spans="1:5" ht="12.75">
      <c r="A508" s="70"/>
      <c r="B508" s="83"/>
      <c r="C508" s="84"/>
      <c r="D508" s="83"/>
      <c r="E508" s="83"/>
    </row>
    <row r="509" spans="1:5" ht="12.75">
      <c r="A509" s="70"/>
      <c r="B509" s="83"/>
      <c r="C509" s="84"/>
      <c r="D509" s="83"/>
      <c r="E509" s="83"/>
    </row>
    <row r="510" spans="1:5" ht="12.75">
      <c r="A510" s="70"/>
      <c r="B510" s="83"/>
      <c r="C510" s="84"/>
      <c r="D510" s="83"/>
      <c r="E510" s="83"/>
    </row>
    <row r="511" spans="1:5" ht="12.75">
      <c r="A511" s="70"/>
      <c r="B511" s="83"/>
      <c r="C511" s="84"/>
      <c r="D511" s="83"/>
      <c r="E511" s="83"/>
    </row>
    <row r="512" spans="1:5" ht="12.75">
      <c r="A512" s="70"/>
      <c r="B512" s="83"/>
      <c r="C512" s="84"/>
      <c r="D512" s="83"/>
      <c r="E512" s="83"/>
    </row>
    <row r="513" spans="1:5" ht="12.75">
      <c r="A513" s="70"/>
      <c r="B513" s="83"/>
      <c r="C513" s="84"/>
      <c r="D513" s="83"/>
      <c r="E513" s="83"/>
    </row>
    <row r="514" spans="1:5" ht="12.75">
      <c r="A514" s="70"/>
      <c r="B514" s="83"/>
      <c r="C514" s="84"/>
      <c r="D514" s="83"/>
      <c r="E514" s="83"/>
    </row>
    <row r="515" spans="1:5" ht="12.75">
      <c r="A515" s="70"/>
      <c r="B515" s="83"/>
      <c r="C515" s="84"/>
      <c r="D515" s="83"/>
      <c r="E515" s="83"/>
    </row>
    <row r="516" spans="1:5" ht="12.75">
      <c r="A516" s="70"/>
      <c r="B516" s="83"/>
      <c r="C516" s="84"/>
      <c r="D516" s="83"/>
      <c r="E516" s="83"/>
    </row>
    <row r="517" spans="1:5" ht="12.75">
      <c r="A517" s="70"/>
      <c r="B517" s="83"/>
      <c r="C517" s="84"/>
      <c r="D517" s="83"/>
      <c r="E517" s="83"/>
    </row>
    <row r="518" spans="1:5" ht="12.75">
      <c r="A518" s="70"/>
      <c r="B518" s="83"/>
      <c r="C518" s="84"/>
      <c r="D518" s="83"/>
      <c r="E518" s="83"/>
    </row>
    <row r="519" spans="1:5" ht="12.75">
      <c r="A519" s="70"/>
      <c r="B519" s="83"/>
      <c r="C519" s="84"/>
      <c r="D519" s="83"/>
      <c r="E519" s="83"/>
    </row>
    <row r="520" spans="1:5" ht="12.75">
      <c r="A520" s="70"/>
      <c r="B520" s="83"/>
      <c r="C520" s="84"/>
      <c r="D520" s="83"/>
      <c r="E520" s="83"/>
    </row>
    <row r="521" spans="1:5" ht="12.75">
      <c r="A521" s="70"/>
      <c r="B521" s="83"/>
      <c r="C521" s="84"/>
      <c r="D521" s="83"/>
      <c r="E521" s="83"/>
    </row>
    <row r="522" spans="1:5" ht="12.75">
      <c r="A522" s="70"/>
      <c r="B522" s="83"/>
      <c r="C522" s="84"/>
      <c r="D522" s="83"/>
      <c r="E522" s="83"/>
    </row>
    <row r="523" spans="1:5" ht="12.75">
      <c r="A523" s="70"/>
      <c r="B523" s="83"/>
      <c r="C523" s="84"/>
      <c r="D523" s="83"/>
      <c r="E523" s="83"/>
    </row>
    <row r="524" spans="1:5" ht="12.75">
      <c r="A524" s="70"/>
      <c r="B524" s="83"/>
      <c r="C524" s="84"/>
      <c r="D524" s="83"/>
      <c r="E524" s="83"/>
    </row>
    <row r="525" spans="1:5" ht="12.75">
      <c r="A525" s="70"/>
      <c r="B525" s="83"/>
      <c r="C525" s="84"/>
      <c r="D525" s="83"/>
      <c r="E525" s="83"/>
    </row>
    <row r="526" spans="1:5" ht="12.75">
      <c r="A526" s="70"/>
      <c r="B526" s="83"/>
      <c r="C526" s="84"/>
      <c r="D526" s="83"/>
      <c r="E526" s="83"/>
    </row>
    <row r="527" spans="1:5" ht="12.75">
      <c r="A527" s="70"/>
      <c r="B527" s="83"/>
      <c r="C527" s="84"/>
      <c r="D527" s="83"/>
      <c r="E527" s="83"/>
    </row>
    <row r="528" spans="1:5" ht="12.75">
      <c r="A528" s="70"/>
      <c r="B528" s="83"/>
      <c r="C528" s="84"/>
      <c r="D528" s="83"/>
      <c r="E528" s="83"/>
    </row>
    <row r="529" spans="1:5" ht="12.75">
      <c r="A529" s="70"/>
      <c r="B529" s="83"/>
      <c r="C529" s="84"/>
      <c r="D529" s="83"/>
      <c r="E529" s="83"/>
    </row>
    <row r="530" spans="1:5" ht="12.75">
      <c r="A530" s="70"/>
      <c r="B530" s="83"/>
      <c r="C530" s="84"/>
      <c r="D530" s="83"/>
      <c r="E530" s="83"/>
    </row>
    <row r="531" spans="1:5" ht="12.75">
      <c r="A531" s="70"/>
      <c r="B531" s="83"/>
      <c r="C531" s="84"/>
      <c r="D531" s="83"/>
      <c r="E531" s="83"/>
    </row>
    <row r="532" spans="1:5" ht="12.75">
      <c r="A532" s="70"/>
      <c r="B532" s="83"/>
      <c r="C532" s="84"/>
      <c r="D532" s="83"/>
      <c r="E532" s="83"/>
    </row>
    <row r="533" spans="1:5" ht="12.75">
      <c r="A533" s="70"/>
      <c r="B533" s="83"/>
      <c r="C533" s="84"/>
      <c r="D533" s="83"/>
      <c r="E533" s="83"/>
    </row>
    <row r="534" spans="1:5" ht="12.75">
      <c r="A534" s="70"/>
      <c r="B534" s="83"/>
      <c r="C534" s="84"/>
      <c r="D534" s="83"/>
      <c r="E534" s="83"/>
    </row>
    <row r="535" spans="1:5" ht="12.75">
      <c r="A535" s="70"/>
      <c r="B535" s="83"/>
      <c r="C535" s="84"/>
      <c r="D535" s="83"/>
      <c r="E535" s="83"/>
    </row>
    <row r="536" spans="1:5" ht="12.75">
      <c r="A536" s="70"/>
      <c r="B536" s="83"/>
      <c r="C536" s="84"/>
      <c r="D536" s="83"/>
      <c r="E536" s="83"/>
    </row>
    <row r="537" spans="1:5" ht="12.75">
      <c r="A537" s="70"/>
      <c r="B537" s="83"/>
      <c r="C537" s="84"/>
      <c r="D537" s="83"/>
      <c r="E537" s="83"/>
    </row>
    <row r="538" spans="1:5" ht="12.75">
      <c r="A538" s="70"/>
      <c r="B538" s="83"/>
      <c r="C538" s="84"/>
      <c r="D538" s="83"/>
      <c r="E538" s="83"/>
    </row>
    <row r="539" spans="1:5" ht="12.75">
      <c r="A539" s="70"/>
      <c r="B539" s="83"/>
      <c r="C539" s="84"/>
      <c r="D539" s="83"/>
      <c r="E539" s="83"/>
    </row>
    <row r="540" spans="1:5" ht="12.75">
      <c r="A540" s="70"/>
      <c r="B540" s="83"/>
      <c r="C540" s="84"/>
      <c r="D540" s="83"/>
      <c r="E540" s="83"/>
    </row>
    <row r="541" spans="1:5" ht="12.75">
      <c r="A541" s="70"/>
      <c r="B541" s="83"/>
      <c r="C541" s="84"/>
      <c r="D541" s="83"/>
      <c r="E541" s="83"/>
    </row>
    <row r="542" spans="1:5" ht="12.75">
      <c r="A542" s="70"/>
      <c r="B542" s="83"/>
      <c r="C542" s="84"/>
      <c r="D542" s="83"/>
      <c r="E542" s="83"/>
    </row>
    <row r="543" spans="1:5" ht="12.75">
      <c r="A543" s="70"/>
      <c r="B543" s="83"/>
      <c r="C543" s="84"/>
      <c r="D543" s="83"/>
      <c r="E543" s="83"/>
    </row>
    <row r="544" spans="1:5" ht="12.75">
      <c r="A544" s="70"/>
      <c r="B544" s="83"/>
      <c r="C544" s="84"/>
      <c r="D544" s="83"/>
      <c r="E544" s="83"/>
    </row>
    <row r="545" spans="1:5" ht="12.75">
      <c r="A545" s="70"/>
      <c r="B545" s="83"/>
      <c r="C545" s="84"/>
      <c r="D545" s="83"/>
      <c r="E545" s="83"/>
    </row>
    <row r="546" spans="1:5" ht="12.75">
      <c r="A546" s="70"/>
      <c r="B546" s="83"/>
      <c r="C546" s="84"/>
      <c r="D546" s="83"/>
      <c r="E546" s="83"/>
    </row>
    <row r="547" spans="1:5" ht="12.75">
      <c r="A547" s="70"/>
      <c r="B547" s="83"/>
      <c r="C547" s="84"/>
      <c r="D547" s="83"/>
      <c r="E547" s="83"/>
    </row>
    <row r="548" spans="1:5" ht="12.75">
      <c r="A548" s="70"/>
      <c r="B548" s="83"/>
      <c r="C548" s="84"/>
      <c r="D548" s="83"/>
      <c r="E548" s="83"/>
    </row>
    <row r="549" spans="1:5" ht="12.75">
      <c r="A549" s="70"/>
      <c r="B549" s="83"/>
      <c r="C549" s="84"/>
      <c r="D549" s="83"/>
      <c r="E549" s="83"/>
    </row>
    <row r="550" spans="1:5" ht="12.75">
      <c r="A550" s="70"/>
      <c r="B550" s="83"/>
      <c r="C550" s="84"/>
      <c r="D550" s="83"/>
      <c r="E550" s="83"/>
    </row>
    <row r="551" spans="1:5" ht="12.75">
      <c r="A551" s="70"/>
      <c r="B551" s="83"/>
      <c r="C551" s="84"/>
      <c r="D551" s="83"/>
      <c r="E551" s="83"/>
    </row>
    <row r="552" spans="1:5" ht="12.75">
      <c r="A552" s="70"/>
      <c r="B552" s="83"/>
      <c r="C552" s="84"/>
      <c r="D552" s="83"/>
      <c r="E552" s="83"/>
    </row>
    <row r="553" spans="1:5" ht="12.75">
      <c r="A553" s="70"/>
      <c r="B553" s="83"/>
      <c r="C553" s="84"/>
      <c r="D553" s="83"/>
      <c r="E553" s="83"/>
    </row>
    <row r="554" spans="1:5" ht="12.75">
      <c r="A554" s="70"/>
      <c r="B554" s="83"/>
      <c r="C554" s="84"/>
      <c r="D554" s="83"/>
      <c r="E554" s="83"/>
    </row>
    <row r="555" spans="1:5" ht="12.75">
      <c r="A555" s="70"/>
      <c r="B555" s="83"/>
      <c r="C555" s="84"/>
      <c r="D555" s="83"/>
      <c r="E555" s="83"/>
    </row>
    <row r="556" spans="1:5" ht="12.75">
      <c r="A556" s="70"/>
      <c r="B556" s="83"/>
      <c r="C556" s="84"/>
      <c r="D556" s="83"/>
      <c r="E556" s="83"/>
    </row>
    <row r="557" spans="1:5" ht="12.75">
      <c r="A557" s="70"/>
      <c r="B557" s="83"/>
      <c r="C557" s="84"/>
      <c r="D557" s="83"/>
      <c r="E557" s="83"/>
    </row>
    <row r="558" spans="1:5" ht="12.75">
      <c r="A558" s="70"/>
      <c r="B558" s="83"/>
      <c r="C558" s="84"/>
      <c r="D558" s="83"/>
      <c r="E558" s="83"/>
    </row>
    <row r="559" spans="1:5" ht="12.75">
      <c r="A559" s="70"/>
      <c r="B559" s="83"/>
      <c r="C559" s="84"/>
      <c r="D559" s="83"/>
      <c r="E559" s="83"/>
    </row>
    <row r="560" spans="1:5" ht="12.75">
      <c r="A560" s="70"/>
      <c r="B560" s="83"/>
      <c r="C560" s="84"/>
      <c r="D560" s="83"/>
      <c r="E560" s="83"/>
    </row>
    <row r="561" spans="1:5" ht="12.75">
      <c r="A561" s="70"/>
      <c r="B561" s="83"/>
      <c r="C561" s="84"/>
      <c r="D561" s="83"/>
      <c r="E561" s="83"/>
    </row>
    <row r="562" spans="1:5" ht="12.75">
      <c r="A562" s="70"/>
      <c r="B562" s="83"/>
      <c r="C562" s="84"/>
      <c r="D562" s="83"/>
      <c r="E562" s="83"/>
    </row>
    <row r="563" spans="1:5" ht="12.75">
      <c r="A563" s="70"/>
      <c r="B563" s="83"/>
      <c r="C563" s="84"/>
      <c r="D563" s="83"/>
      <c r="E563" s="83"/>
    </row>
    <row r="564" spans="1:5" ht="12.75">
      <c r="A564" s="70"/>
      <c r="B564" s="83"/>
      <c r="C564" s="84"/>
      <c r="D564" s="83"/>
      <c r="E564" s="83"/>
    </row>
    <row r="565" spans="1:5" ht="12.75">
      <c r="A565" s="70"/>
      <c r="B565" s="83"/>
      <c r="C565" s="84"/>
      <c r="D565" s="83"/>
      <c r="E565" s="83"/>
    </row>
    <row r="566" spans="1:5" ht="12.75">
      <c r="A566" s="70"/>
      <c r="B566" s="83"/>
      <c r="C566" s="84"/>
      <c r="D566" s="83"/>
      <c r="E566" s="83"/>
    </row>
    <row r="567" spans="1:5" ht="12.75">
      <c r="A567" s="70"/>
      <c r="B567" s="83"/>
      <c r="C567" s="84"/>
      <c r="D567" s="83"/>
      <c r="E567" s="83"/>
    </row>
    <row r="568" spans="1:5" ht="12.75">
      <c r="A568" s="70"/>
      <c r="B568" s="83"/>
      <c r="C568" s="84"/>
      <c r="D568" s="83"/>
      <c r="E568" s="83"/>
    </row>
    <row r="569" spans="1:5" ht="12.75">
      <c r="A569" s="70"/>
      <c r="B569" s="83"/>
      <c r="C569" s="84"/>
      <c r="D569" s="83"/>
      <c r="E569" s="83"/>
    </row>
    <row r="570" spans="1:5" ht="12.75">
      <c r="A570" s="70"/>
      <c r="B570" s="83"/>
      <c r="C570" s="84"/>
      <c r="D570" s="83"/>
      <c r="E570" s="83"/>
    </row>
    <row r="571" spans="1:5" ht="12.75">
      <c r="A571" s="70"/>
      <c r="B571" s="83"/>
      <c r="C571" s="84"/>
      <c r="D571" s="83"/>
      <c r="E571" s="83"/>
    </row>
    <row r="572" spans="1:5" ht="12.75">
      <c r="A572" s="70"/>
      <c r="B572" s="83"/>
      <c r="C572" s="84"/>
      <c r="D572" s="83"/>
      <c r="E572" s="83"/>
    </row>
    <row r="573" spans="1:5" ht="12.75">
      <c r="A573" s="70"/>
      <c r="B573" s="83"/>
      <c r="C573" s="84"/>
      <c r="D573" s="83"/>
      <c r="E573" s="83"/>
    </row>
    <row r="574" spans="1:5" ht="12.75">
      <c r="A574" s="70"/>
      <c r="B574" s="83"/>
      <c r="C574" s="84"/>
      <c r="D574" s="83"/>
      <c r="E574" s="83"/>
    </row>
    <row r="575" spans="1:5" ht="12.75">
      <c r="A575" s="70"/>
      <c r="B575" s="83"/>
      <c r="C575" s="84"/>
      <c r="D575" s="83"/>
      <c r="E575" s="83"/>
    </row>
    <row r="576" spans="1:5" ht="12.75">
      <c r="A576" s="70"/>
      <c r="B576" s="83"/>
      <c r="C576" s="84"/>
      <c r="D576" s="83"/>
      <c r="E576" s="83"/>
    </row>
    <row r="577" spans="1:5" ht="12.75">
      <c r="A577" s="70"/>
      <c r="B577" s="83"/>
      <c r="C577" s="84"/>
      <c r="D577" s="83"/>
      <c r="E577" s="83"/>
    </row>
    <row r="578" spans="1:5" ht="12.75">
      <c r="A578" s="70"/>
      <c r="B578" s="83"/>
      <c r="C578" s="84"/>
      <c r="D578" s="83"/>
      <c r="E578" s="83"/>
    </row>
    <row r="579" spans="1:5" ht="12.75">
      <c r="A579" s="70"/>
      <c r="B579" s="83"/>
      <c r="C579" s="84"/>
      <c r="D579" s="83"/>
      <c r="E579" s="83"/>
    </row>
    <row r="580" spans="1:5" ht="12.75">
      <c r="A580" s="70"/>
      <c r="B580" s="83"/>
      <c r="C580" s="84"/>
      <c r="D580" s="83"/>
      <c r="E580" s="83"/>
    </row>
    <row r="581" spans="1:5" ht="12.75">
      <c r="A581" s="70"/>
      <c r="B581" s="83"/>
      <c r="C581" s="84"/>
      <c r="D581" s="83"/>
      <c r="E581" s="83"/>
    </row>
    <row r="582" spans="1:5" ht="12.75">
      <c r="A582" s="70"/>
      <c r="B582" s="83"/>
      <c r="C582" s="84"/>
      <c r="D582" s="83"/>
      <c r="E582" s="83"/>
    </row>
    <row r="583" spans="1:5" ht="12.75">
      <c r="A583" s="70"/>
      <c r="B583" s="83"/>
      <c r="C583" s="84"/>
      <c r="D583" s="83"/>
      <c r="E583" s="83"/>
    </row>
    <row r="584" spans="1:5" ht="12.75">
      <c r="A584" s="70"/>
      <c r="B584" s="83"/>
      <c r="C584" s="84"/>
      <c r="D584" s="83"/>
      <c r="E584" s="83"/>
    </row>
    <row r="585" spans="1:5" ht="12.75">
      <c r="A585" s="70"/>
      <c r="B585" s="83"/>
      <c r="C585" s="84"/>
      <c r="D585" s="83"/>
      <c r="E585" s="83"/>
    </row>
    <row r="586" spans="1:5" ht="12.75">
      <c r="A586" s="70"/>
      <c r="B586" s="83"/>
      <c r="C586" s="84"/>
      <c r="D586" s="83"/>
      <c r="E586" s="83"/>
    </row>
    <row r="587" spans="1:5" ht="12.75">
      <c r="A587" s="70"/>
      <c r="B587" s="83"/>
      <c r="C587" s="84"/>
      <c r="D587" s="83"/>
      <c r="E587" s="83"/>
    </row>
    <row r="588" spans="1:5" ht="12.75">
      <c r="A588" s="70"/>
      <c r="B588" s="83"/>
      <c r="C588" s="84"/>
      <c r="D588" s="83"/>
      <c r="E588" s="83"/>
    </row>
    <row r="589" spans="1:5" ht="12.75">
      <c r="A589" s="70"/>
      <c r="B589" s="83"/>
      <c r="C589" s="84"/>
      <c r="D589" s="83"/>
      <c r="E589" s="83"/>
    </row>
    <row r="590" spans="1:5" ht="12.75">
      <c r="A590" s="70"/>
      <c r="B590" s="83"/>
      <c r="C590" s="84"/>
      <c r="D590" s="83"/>
      <c r="E590" s="83"/>
    </row>
    <row r="591" spans="1:5" ht="12.75">
      <c r="A591" s="70"/>
      <c r="B591" s="83"/>
      <c r="C591" s="84"/>
      <c r="D591" s="83"/>
      <c r="E591" s="83"/>
    </row>
    <row r="592" spans="1:5" ht="12.75">
      <c r="A592" s="70"/>
      <c r="B592" s="83"/>
      <c r="C592" s="84"/>
      <c r="D592" s="83"/>
      <c r="E592" s="83"/>
    </row>
    <row r="593" spans="1:5" ht="12.75">
      <c r="A593" s="70"/>
      <c r="B593" s="83"/>
      <c r="C593" s="84"/>
      <c r="D593" s="83"/>
      <c r="E593" s="83"/>
    </row>
    <row r="594" spans="1:5" ht="12.75">
      <c r="A594" s="70"/>
      <c r="B594" s="83"/>
      <c r="C594" s="84"/>
      <c r="D594" s="83"/>
      <c r="E594" s="83"/>
    </row>
    <row r="595" spans="1:5" ht="12.75">
      <c r="A595" s="70"/>
      <c r="B595" s="83"/>
      <c r="C595" s="84"/>
      <c r="D595" s="83"/>
      <c r="E595" s="83"/>
    </row>
    <row r="596" spans="1:5" ht="12.75">
      <c r="A596" s="70"/>
      <c r="B596" s="83"/>
      <c r="C596" s="84"/>
      <c r="D596" s="83"/>
      <c r="E596" s="83"/>
    </row>
    <row r="597" spans="1:5" ht="12.75">
      <c r="A597" s="70"/>
      <c r="B597" s="83"/>
      <c r="C597" s="84"/>
      <c r="D597" s="83"/>
      <c r="E597" s="83"/>
    </row>
    <row r="598" spans="1:5" ht="12.75">
      <c r="A598" s="70"/>
      <c r="B598" s="83"/>
      <c r="C598" s="84"/>
      <c r="D598" s="83"/>
      <c r="E598" s="83"/>
    </row>
    <row r="599" spans="1:5" ht="12.75">
      <c r="A599" s="70"/>
      <c r="B599" s="83"/>
      <c r="C599" s="84"/>
      <c r="D599" s="83"/>
      <c r="E599" s="83"/>
    </row>
    <row r="600" spans="1:5" ht="12.75">
      <c r="A600" s="70"/>
      <c r="B600" s="83"/>
      <c r="C600" s="84"/>
      <c r="D600" s="83"/>
      <c r="E600" s="83"/>
    </row>
    <row r="601" spans="1:5" ht="12.75">
      <c r="A601" s="70"/>
      <c r="B601" s="83"/>
      <c r="C601" s="84"/>
      <c r="D601" s="83"/>
      <c r="E601" s="83"/>
    </row>
    <row r="602" spans="1:5" ht="12.75">
      <c r="A602" s="70"/>
      <c r="B602" s="83"/>
      <c r="C602" s="84"/>
      <c r="D602" s="83"/>
      <c r="E602" s="83"/>
    </row>
    <row r="603" spans="1:5" ht="12.75">
      <c r="A603" s="70"/>
      <c r="B603" s="83"/>
      <c r="C603" s="84"/>
      <c r="D603" s="83"/>
      <c r="E603" s="83"/>
    </row>
    <row r="604" spans="1:5" ht="12.75">
      <c r="A604" s="70"/>
      <c r="B604" s="83"/>
      <c r="C604" s="84"/>
      <c r="D604" s="83"/>
      <c r="E604" s="83"/>
    </row>
    <row r="605" spans="1:5" ht="12.75">
      <c r="A605" s="70"/>
      <c r="B605" s="83"/>
      <c r="C605" s="84"/>
      <c r="D605" s="83"/>
      <c r="E605" s="83"/>
    </row>
    <row r="606" spans="1:5" ht="12.75">
      <c r="A606" s="70"/>
      <c r="B606" s="83"/>
      <c r="C606" s="84"/>
      <c r="D606" s="83"/>
      <c r="E606" s="83"/>
    </row>
    <row r="607" spans="1:5" ht="12.75">
      <c r="A607" s="70"/>
      <c r="B607" s="83"/>
      <c r="C607" s="84"/>
      <c r="D607" s="83"/>
      <c r="E607" s="83"/>
    </row>
    <row r="608" spans="1:5" ht="12.75">
      <c r="A608" s="70"/>
      <c r="B608" s="83"/>
      <c r="C608" s="84"/>
      <c r="D608" s="83"/>
      <c r="E608" s="83"/>
    </row>
    <row r="609" spans="1:5" ht="12.75">
      <c r="A609" s="70"/>
      <c r="B609" s="83"/>
      <c r="C609" s="84"/>
      <c r="D609" s="83"/>
      <c r="E609" s="83"/>
    </row>
    <row r="610" spans="1:5" ht="12.75">
      <c r="A610" s="70"/>
      <c r="B610" s="83"/>
      <c r="C610" s="84"/>
      <c r="D610" s="83"/>
      <c r="E610" s="83"/>
    </row>
    <row r="611" spans="1:5" ht="12.75">
      <c r="A611" s="70"/>
      <c r="B611" s="83"/>
      <c r="C611" s="84"/>
      <c r="D611" s="83"/>
      <c r="E611" s="83"/>
    </row>
    <row r="612" spans="1:5" ht="12.75">
      <c r="A612" s="70"/>
      <c r="B612" s="83"/>
      <c r="C612" s="84"/>
      <c r="D612" s="83"/>
      <c r="E612" s="83"/>
    </row>
    <row r="613" spans="1:5" ht="12.75">
      <c r="A613" s="70"/>
      <c r="B613" s="83"/>
      <c r="C613" s="84"/>
      <c r="D613" s="83"/>
      <c r="E613" s="83"/>
    </row>
    <row r="614" spans="1:5" ht="12.75">
      <c r="A614" s="70"/>
      <c r="B614" s="83"/>
      <c r="C614" s="84"/>
      <c r="D614" s="83"/>
      <c r="E614" s="83"/>
    </row>
    <row r="615" spans="1:5" ht="12.75">
      <c r="A615" s="70"/>
      <c r="B615" s="83"/>
      <c r="C615" s="84"/>
      <c r="D615" s="83"/>
      <c r="E615" s="83"/>
    </row>
    <row r="616" spans="1:5" ht="12.75">
      <c r="A616" s="70"/>
      <c r="B616" s="83"/>
      <c r="C616" s="84"/>
      <c r="D616" s="83"/>
      <c r="E616" s="83"/>
    </row>
    <row r="617" spans="1:5" ht="12.75">
      <c r="A617" s="70"/>
      <c r="B617" s="83"/>
      <c r="C617" s="84"/>
      <c r="D617" s="83"/>
      <c r="E617" s="83"/>
    </row>
    <row r="618" spans="1:5" ht="12.75">
      <c r="A618" s="70"/>
      <c r="B618" s="83"/>
      <c r="C618" s="84"/>
      <c r="D618" s="83"/>
      <c r="E618" s="83"/>
    </row>
    <row r="619" spans="1:5" ht="12.75">
      <c r="A619" s="70"/>
      <c r="B619" s="83"/>
      <c r="C619" s="84"/>
      <c r="D619" s="83"/>
      <c r="E619" s="83"/>
    </row>
    <row r="620" spans="1:5" ht="12.75">
      <c r="A620" s="70"/>
      <c r="B620" s="83"/>
      <c r="C620" s="84"/>
      <c r="D620" s="83"/>
      <c r="E620" s="83"/>
    </row>
    <row r="621" spans="1:5" ht="12.75">
      <c r="A621" s="70"/>
      <c r="B621" s="83"/>
      <c r="C621" s="84"/>
      <c r="D621" s="83"/>
      <c r="E621" s="83"/>
    </row>
    <row r="622" spans="1:5" ht="12.75">
      <c r="A622" s="70"/>
      <c r="B622" s="83"/>
      <c r="C622" s="84"/>
      <c r="D622" s="83"/>
      <c r="E622" s="83"/>
    </row>
    <row r="623" spans="1:5" ht="12.75">
      <c r="A623" s="70"/>
      <c r="B623" s="83"/>
      <c r="C623" s="84"/>
      <c r="D623" s="83"/>
      <c r="E623" s="83"/>
    </row>
    <row r="624" spans="1:5" ht="12.75">
      <c r="A624" s="70"/>
      <c r="B624" s="83"/>
      <c r="C624" s="84"/>
      <c r="D624" s="83"/>
      <c r="E624" s="83"/>
    </row>
    <row r="625" spans="1:5" ht="12.75">
      <c r="A625" s="70"/>
      <c r="B625" s="83"/>
      <c r="C625" s="84"/>
      <c r="D625" s="83"/>
      <c r="E625" s="83"/>
    </row>
    <row r="626" spans="1:5" ht="12.75">
      <c r="A626" s="70"/>
      <c r="B626" s="83"/>
      <c r="C626" s="84"/>
      <c r="D626" s="83"/>
      <c r="E626" s="83"/>
    </row>
    <row r="627" spans="1:5" ht="12.75">
      <c r="A627" s="70"/>
      <c r="B627" s="83"/>
      <c r="C627" s="84"/>
      <c r="D627" s="83"/>
      <c r="E627" s="83"/>
    </row>
    <row r="628" spans="1:5" ht="12.75">
      <c r="A628" s="70"/>
      <c r="B628" s="83"/>
      <c r="C628" s="84"/>
      <c r="D628" s="83"/>
      <c r="E628" s="83"/>
    </row>
    <row r="629" spans="1:5" ht="12.75">
      <c r="A629" s="70"/>
      <c r="B629" s="83"/>
      <c r="C629" s="84"/>
      <c r="D629" s="83"/>
      <c r="E629" s="83"/>
    </row>
    <row r="630" spans="1:5" ht="12.75">
      <c r="A630" s="70"/>
      <c r="B630" s="83"/>
      <c r="C630" s="84"/>
      <c r="D630" s="83"/>
      <c r="E630" s="83"/>
    </row>
    <row r="631" spans="1:5" ht="12.75">
      <c r="A631" s="70"/>
      <c r="B631" s="83"/>
      <c r="C631" s="84"/>
      <c r="D631" s="83"/>
      <c r="E631" s="83"/>
    </row>
    <row r="632" spans="1:5" ht="12.75">
      <c r="A632" s="70"/>
      <c r="B632" s="83"/>
      <c r="C632" s="84"/>
      <c r="D632" s="83"/>
      <c r="E632" s="83"/>
    </row>
    <row r="633" spans="1:5" ht="12.75">
      <c r="A633" s="70"/>
      <c r="B633" s="83"/>
      <c r="C633" s="84"/>
      <c r="D633" s="83"/>
      <c r="E633" s="83"/>
    </row>
    <row r="634" spans="1:5" ht="12.75">
      <c r="A634" s="70"/>
      <c r="B634" s="83"/>
      <c r="C634" s="84"/>
      <c r="D634" s="83"/>
      <c r="E634" s="83"/>
    </row>
    <row r="635" spans="1:5" ht="12.75">
      <c r="A635" s="70"/>
      <c r="B635" s="83"/>
      <c r="C635" s="84"/>
      <c r="D635" s="83"/>
      <c r="E635" s="83"/>
    </row>
    <row r="636" spans="1:5" ht="12.75">
      <c r="A636" s="70"/>
      <c r="B636" s="83"/>
      <c r="C636" s="84"/>
      <c r="D636" s="83"/>
      <c r="E636" s="83"/>
    </row>
    <row r="637" spans="1:5" ht="12.75">
      <c r="A637" s="70"/>
      <c r="B637" s="83"/>
      <c r="C637" s="84"/>
      <c r="D637" s="83"/>
      <c r="E637" s="83"/>
    </row>
    <row r="638" spans="1:5" ht="12.75">
      <c r="A638" s="70"/>
      <c r="B638" s="83"/>
      <c r="C638" s="84"/>
      <c r="D638" s="83"/>
      <c r="E638" s="83"/>
    </row>
    <row r="639" spans="1:5" ht="12.75">
      <c r="A639" s="70"/>
      <c r="B639" s="83"/>
      <c r="C639" s="84"/>
      <c r="D639" s="83"/>
      <c r="E639" s="83"/>
    </row>
    <row r="640" spans="1:5" ht="12.75">
      <c r="A640" s="70"/>
      <c r="B640" s="83"/>
      <c r="C640" s="84"/>
      <c r="D640" s="83"/>
      <c r="E640" s="83"/>
    </row>
    <row r="641" spans="1:5" ht="12.75">
      <c r="A641" s="70"/>
      <c r="B641" s="83"/>
      <c r="C641" s="84"/>
      <c r="D641" s="83"/>
      <c r="E641" s="83"/>
    </row>
    <row r="642" spans="1:5" ht="12.75">
      <c r="A642" s="70"/>
      <c r="B642" s="83"/>
      <c r="C642" s="84"/>
      <c r="D642" s="83"/>
      <c r="E642" s="83"/>
    </row>
    <row r="643" spans="1:5" ht="12.75">
      <c r="A643" s="70"/>
      <c r="B643" s="83"/>
      <c r="C643" s="84"/>
      <c r="D643" s="83"/>
      <c r="E643" s="83"/>
    </row>
    <row r="644" spans="1:5" ht="12.75">
      <c r="A644" s="70"/>
      <c r="B644" s="83"/>
      <c r="C644" s="84"/>
      <c r="D644" s="83"/>
      <c r="E644" s="83"/>
    </row>
    <row r="645" spans="1:5" ht="12.75">
      <c r="A645" s="70"/>
      <c r="B645" s="83"/>
      <c r="C645" s="84"/>
      <c r="D645" s="83"/>
      <c r="E645" s="83"/>
    </row>
    <row r="646" spans="1:5" ht="12.75">
      <c r="A646" s="70"/>
      <c r="B646" s="83"/>
      <c r="C646" s="84"/>
      <c r="D646" s="83"/>
      <c r="E646" s="83"/>
    </row>
    <row r="647" spans="1:5" ht="12.75">
      <c r="A647" s="70"/>
      <c r="B647" s="83"/>
      <c r="C647" s="84"/>
      <c r="D647" s="83"/>
      <c r="E647" s="83"/>
    </row>
    <row r="648" spans="1:5" ht="12.75">
      <c r="A648" s="70"/>
      <c r="B648" s="83"/>
      <c r="C648" s="84"/>
      <c r="D648" s="83"/>
      <c r="E648" s="83"/>
    </row>
    <row r="649" spans="1:5" ht="12.75">
      <c r="A649" s="70"/>
      <c r="B649" s="83"/>
      <c r="C649" s="84"/>
      <c r="D649" s="83"/>
      <c r="E649" s="83"/>
    </row>
    <row r="650" spans="1:5" ht="12.75">
      <c r="A650" s="70"/>
      <c r="B650" s="83"/>
      <c r="C650" s="84"/>
      <c r="D650" s="83"/>
      <c r="E650" s="83"/>
    </row>
    <row r="651" spans="1:5" ht="12.75">
      <c r="A651" s="70"/>
      <c r="B651" s="83"/>
      <c r="C651" s="84"/>
      <c r="D651" s="83"/>
      <c r="E651" s="83"/>
    </row>
    <row r="652" spans="1:5" ht="12.75">
      <c r="A652" s="70"/>
      <c r="B652" s="83"/>
      <c r="C652" s="84"/>
      <c r="D652" s="83"/>
      <c r="E652" s="83"/>
    </row>
    <row r="653" spans="1:5" ht="12.75">
      <c r="A653" s="70"/>
      <c r="B653" s="83"/>
      <c r="C653" s="84"/>
      <c r="D653" s="83"/>
      <c r="E653" s="83"/>
    </row>
    <row r="654" spans="1:5" ht="12.75">
      <c r="A654" s="70"/>
      <c r="B654" s="83"/>
      <c r="C654" s="84"/>
      <c r="D654" s="83"/>
      <c r="E654" s="83"/>
    </row>
    <row r="655" spans="1:5" ht="12.75">
      <c r="A655" s="70"/>
      <c r="B655" s="83"/>
      <c r="C655" s="84"/>
      <c r="D655" s="83"/>
      <c r="E655" s="83"/>
    </row>
    <row r="656" spans="1:5" ht="12.75">
      <c r="A656" s="70"/>
      <c r="B656" s="83"/>
      <c r="C656" s="84"/>
      <c r="D656" s="83"/>
      <c r="E656" s="83"/>
    </row>
    <row r="657" spans="1:5" ht="12.75">
      <c r="A657" s="70"/>
      <c r="B657" s="83"/>
      <c r="C657" s="84"/>
      <c r="D657" s="83"/>
      <c r="E657" s="83"/>
    </row>
    <row r="658" spans="1:5" ht="12.75">
      <c r="A658" s="70"/>
      <c r="B658" s="83"/>
      <c r="C658" s="84"/>
      <c r="D658" s="83"/>
      <c r="E658" s="83"/>
    </row>
    <row r="659" spans="1:5" ht="12.75">
      <c r="A659" s="70"/>
      <c r="B659" s="83"/>
      <c r="C659" s="84"/>
      <c r="D659" s="83"/>
      <c r="E659" s="83"/>
    </row>
    <row r="660" spans="1:5" ht="12.75">
      <c r="A660" s="70"/>
      <c r="B660" s="83"/>
      <c r="C660" s="84"/>
      <c r="D660" s="83"/>
      <c r="E660" s="83"/>
    </row>
    <row r="661" spans="1:5" ht="12.75">
      <c r="A661" s="70"/>
      <c r="B661" s="83"/>
      <c r="C661" s="84"/>
      <c r="D661" s="83"/>
      <c r="E661" s="83"/>
    </row>
    <row r="662" spans="1:5" ht="12.75">
      <c r="A662" s="70"/>
      <c r="B662" s="83"/>
      <c r="C662" s="84"/>
      <c r="D662" s="83"/>
      <c r="E662" s="83"/>
    </row>
    <row r="663" spans="1:5" ht="12.75">
      <c r="A663" s="70"/>
      <c r="B663" s="83"/>
      <c r="C663" s="84"/>
      <c r="D663" s="83"/>
      <c r="E663" s="83"/>
    </row>
    <row r="664" spans="1:5" ht="12.75">
      <c r="A664" s="70"/>
      <c r="B664" s="83"/>
      <c r="C664" s="84"/>
      <c r="D664" s="83"/>
      <c r="E664" s="83"/>
    </row>
    <row r="665" spans="1:5" ht="12.75">
      <c r="A665" s="70"/>
      <c r="B665" s="83"/>
      <c r="C665" s="84"/>
      <c r="D665" s="83"/>
      <c r="E665" s="83"/>
    </row>
    <row r="666" spans="1:5" ht="12.75">
      <c r="A666" s="70"/>
      <c r="B666" s="83"/>
      <c r="C666" s="84"/>
      <c r="D666" s="83"/>
      <c r="E666" s="83"/>
    </row>
    <row r="667" spans="1:5" ht="12.75">
      <c r="A667" s="70"/>
      <c r="B667" s="83"/>
      <c r="C667" s="84"/>
      <c r="D667" s="83"/>
      <c r="E667" s="83"/>
    </row>
    <row r="668" spans="1:5" ht="12.75">
      <c r="A668" s="70"/>
      <c r="B668" s="83"/>
      <c r="C668" s="84"/>
      <c r="D668" s="83"/>
      <c r="E668" s="83"/>
    </row>
    <row r="669" spans="1:5" ht="12.75">
      <c r="A669" s="70"/>
      <c r="B669" s="83"/>
      <c r="C669" s="84"/>
      <c r="D669" s="83"/>
      <c r="E669" s="83"/>
    </row>
    <row r="670" spans="1:5" ht="12.75">
      <c r="A670" s="70"/>
      <c r="B670" s="83"/>
      <c r="C670" s="84"/>
      <c r="D670" s="83"/>
      <c r="E670" s="83"/>
    </row>
    <row r="671" spans="1:5" ht="12.75">
      <c r="A671" s="70"/>
      <c r="B671" s="83"/>
      <c r="C671" s="84"/>
      <c r="D671" s="83"/>
      <c r="E671" s="83"/>
    </row>
    <row r="672" spans="1:5" ht="12.75">
      <c r="A672" s="70"/>
      <c r="B672" s="83"/>
      <c r="C672" s="84"/>
      <c r="D672" s="83"/>
      <c r="E672" s="83"/>
    </row>
    <row r="673" spans="1:5" ht="12.75">
      <c r="A673" s="70"/>
      <c r="B673" s="83"/>
      <c r="C673" s="84"/>
      <c r="D673" s="83"/>
      <c r="E673" s="83"/>
    </row>
    <row r="674" spans="1:5" ht="12.75">
      <c r="A674" s="70"/>
      <c r="B674" s="83"/>
      <c r="C674" s="84"/>
      <c r="D674" s="83"/>
      <c r="E674" s="83"/>
    </row>
    <row r="675" spans="1:5" ht="12.75">
      <c r="A675" s="70"/>
      <c r="B675" s="83"/>
      <c r="C675" s="84"/>
      <c r="D675" s="83"/>
      <c r="E675" s="83"/>
    </row>
    <row r="676" spans="1:5" ht="12.75">
      <c r="A676" s="70"/>
      <c r="B676" s="83"/>
      <c r="C676" s="84"/>
      <c r="D676" s="83"/>
      <c r="E676" s="83"/>
    </row>
    <row r="677" spans="1:5" ht="12.75">
      <c r="A677" s="70"/>
      <c r="B677" s="83"/>
      <c r="C677" s="84"/>
      <c r="D677" s="83"/>
      <c r="E677" s="83"/>
    </row>
    <row r="678" spans="1:5" ht="12.75">
      <c r="A678" s="70"/>
      <c r="B678" s="83"/>
      <c r="C678" s="84"/>
      <c r="D678" s="83"/>
      <c r="E678" s="83"/>
    </row>
    <row r="679" spans="1:5" ht="12.75">
      <c r="A679" s="70"/>
      <c r="B679" s="83"/>
      <c r="C679" s="84"/>
      <c r="D679" s="83"/>
      <c r="E679" s="83"/>
    </row>
    <row r="680" spans="1:5" ht="12.75">
      <c r="A680" s="70"/>
      <c r="B680" s="83"/>
      <c r="C680" s="84"/>
      <c r="D680" s="83"/>
      <c r="E680" s="83"/>
    </row>
    <row r="681" spans="1:5" ht="12.75">
      <c r="A681" s="70"/>
      <c r="B681" s="83"/>
      <c r="C681" s="84"/>
      <c r="D681" s="83"/>
      <c r="E681" s="83"/>
    </row>
    <row r="682" spans="1:5" ht="12.75">
      <c r="A682" s="70"/>
      <c r="B682" s="83"/>
      <c r="C682" s="84"/>
      <c r="D682" s="83"/>
      <c r="E682" s="83"/>
    </row>
    <row r="683" spans="1:5" ht="12.75">
      <c r="A683" s="70"/>
      <c r="B683" s="83"/>
      <c r="C683" s="84"/>
      <c r="D683" s="83"/>
      <c r="E683" s="83"/>
    </row>
    <row r="684" spans="1:5" ht="12.75">
      <c r="A684" s="70"/>
      <c r="B684" s="83"/>
      <c r="C684" s="84"/>
      <c r="D684" s="83"/>
      <c r="E684" s="83"/>
    </row>
    <row r="685" spans="1:5" ht="12.75">
      <c r="A685" s="70"/>
      <c r="B685" s="83"/>
      <c r="C685" s="84"/>
      <c r="D685" s="83"/>
      <c r="E685" s="83"/>
    </row>
    <row r="686" spans="1:5" ht="12.75">
      <c r="A686" s="70"/>
      <c r="B686" s="83"/>
      <c r="C686" s="84"/>
      <c r="D686" s="83"/>
      <c r="E686" s="83"/>
    </row>
    <row r="687" spans="1:5" ht="12.75">
      <c r="A687" s="70"/>
      <c r="B687" s="83"/>
      <c r="C687" s="84"/>
      <c r="D687" s="83"/>
      <c r="E687" s="83"/>
    </row>
    <row r="688" spans="1:5" ht="12.75">
      <c r="A688" s="70"/>
      <c r="B688" s="83"/>
      <c r="C688" s="84"/>
      <c r="D688" s="83"/>
      <c r="E688" s="83"/>
    </row>
    <row r="689" spans="1:5" ht="12.75">
      <c r="A689" s="70"/>
      <c r="B689" s="83"/>
      <c r="C689" s="84"/>
      <c r="D689" s="83"/>
      <c r="E689" s="83"/>
    </row>
    <row r="690" spans="1:5" ht="12.75">
      <c r="A690" s="70"/>
      <c r="B690" s="83"/>
      <c r="C690" s="84"/>
      <c r="D690" s="83"/>
      <c r="E690" s="83"/>
    </row>
    <row r="691" spans="1:5" ht="12.75">
      <c r="A691" s="70"/>
      <c r="B691" s="83"/>
      <c r="C691" s="84"/>
      <c r="D691" s="83"/>
      <c r="E691" s="83"/>
    </row>
    <row r="692" spans="1:5" ht="12.75">
      <c r="A692" s="70"/>
      <c r="B692" s="83"/>
      <c r="C692" s="84"/>
      <c r="D692" s="83"/>
      <c r="E692" s="83"/>
    </row>
    <row r="693" spans="1:5" ht="12.75">
      <c r="A693" s="70"/>
      <c r="B693" s="83"/>
      <c r="C693" s="84"/>
      <c r="D693" s="83"/>
      <c r="E693" s="83"/>
    </row>
    <row r="694" spans="1:5" ht="12.75">
      <c r="A694" s="70"/>
      <c r="B694" s="83"/>
      <c r="C694" s="84"/>
      <c r="D694" s="83"/>
      <c r="E694" s="83"/>
    </row>
    <row r="695" spans="1:5" ht="12.75">
      <c r="A695" s="70"/>
      <c r="B695" s="83"/>
      <c r="C695" s="84"/>
      <c r="D695" s="83"/>
      <c r="E695" s="83"/>
    </row>
    <row r="696" spans="1:5" ht="12.75">
      <c r="A696" s="70"/>
      <c r="B696" s="83"/>
      <c r="C696" s="84"/>
      <c r="D696" s="83"/>
      <c r="E696" s="83"/>
    </row>
    <row r="697" spans="1:5" ht="12.75">
      <c r="A697" s="70"/>
      <c r="B697" s="83"/>
      <c r="C697" s="84"/>
      <c r="D697" s="83"/>
      <c r="E697" s="83"/>
    </row>
    <row r="698" spans="1:5" ht="12.75">
      <c r="A698" s="70"/>
      <c r="B698" s="83"/>
      <c r="C698" s="84"/>
      <c r="D698" s="83"/>
      <c r="E698" s="83"/>
    </row>
    <row r="699" spans="1:5" ht="12.75">
      <c r="A699" s="70"/>
      <c r="B699" s="83"/>
      <c r="C699" s="84"/>
      <c r="D699" s="83"/>
      <c r="E699" s="83"/>
    </row>
    <row r="700" spans="1:5" ht="12.75">
      <c r="A700" s="70"/>
      <c r="B700" s="83"/>
      <c r="C700" s="84"/>
      <c r="D700" s="83"/>
      <c r="E700" s="83"/>
    </row>
    <row r="701" spans="1:5" ht="12.75">
      <c r="A701" s="70"/>
      <c r="B701" s="83"/>
      <c r="C701" s="84"/>
      <c r="D701" s="83"/>
      <c r="E701" s="83"/>
    </row>
    <row r="702" spans="1:5" ht="12.75">
      <c r="A702" s="70"/>
      <c r="B702" s="83"/>
      <c r="C702" s="84"/>
      <c r="D702" s="83"/>
      <c r="E702" s="83"/>
    </row>
    <row r="703" spans="1:5" ht="12.75">
      <c r="A703" s="70"/>
      <c r="B703" s="83"/>
      <c r="C703" s="84"/>
      <c r="D703" s="83"/>
      <c r="E703" s="83"/>
    </row>
    <row r="704" spans="1:5" ht="12.75">
      <c r="A704" s="70"/>
      <c r="B704" s="83"/>
      <c r="C704" s="84"/>
      <c r="D704" s="83"/>
      <c r="E704" s="83"/>
    </row>
    <row r="705" spans="1:5" ht="12.75">
      <c r="A705" s="70"/>
      <c r="B705" s="83"/>
      <c r="C705" s="84"/>
      <c r="D705" s="83"/>
      <c r="E705" s="83"/>
    </row>
    <row r="706" spans="1:5" ht="12.75">
      <c r="A706" s="70"/>
      <c r="B706" s="83"/>
      <c r="C706" s="84"/>
      <c r="D706" s="83"/>
      <c r="E706" s="83"/>
    </row>
    <row r="707" spans="1:5" ht="12.75">
      <c r="A707" s="70"/>
      <c r="B707" s="83"/>
      <c r="C707" s="84"/>
      <c r="D707" s="83"/>
      <c r="E707" s="83"/>
    </row>
    <row r="708" spans="1:5" ht="12.75">
      <c r="A708" s="70"/>
      <c r="B708" s="83"/>
      <c r="C708" s="84"/>
      <c r="D708" s="83"/>
      <c r="E708" s="83"/>
    </row>
    <row r="709" spans="1:5" ht="12.75">
      <c r="A709" s="70"/>
      <c r="B709" s="83"/>
      <c r="C709" s="84"/>
      <c r="D709" s="83"/>
      <c r="E709" s="83"/>
    </row>
    <row r="710" spans="1:5" ht="12.75">
      <c r="A710" s="70"/>
      <c r="B710" s="83"/>
      <c r="C710" s="84"/>
      <c r="D710" s="83"/>
      <c r="E710" s="83"/>
    </row>
    <row r="711" spans="1:5" ht="12.75">
      <c r="A711" s="70"/>
      <c r="B711" s="83"/>
      <c r="C711" s="84"/>
      <c r="D711" s="83"/>
      <c r="E711" s="83"/>
    </row>
    <row r="712" spans="1:5" ht="12.75">
      <c r="A712" s="70"/>
      <c r="B712" s="83"/>
      <c r="C712" s="84"/>
      <c r="D712" s="83"/>
      <c r="E712" s="83"/>
    </row>
    <row r="713" spans="1:5" ht="12.75">
      <c r="A713" s="70"/>
      <c r="B713" s="83"/>
      <c r="C713" s="84"/>
      <c r="D713" s="83"/>
      <c r="E713" s="83"/>
    </row>
    <row r="714" spans="1:5" ht="12.75">
      <c r="A714" s="70"/>
      <c r="B714" s="83"/>
      <c r="C714" s="84"/>
      <c r="D714" s="83"/>
      <c r="E714" s="83"/>
    </row>
    <row r="715" spans="1:5" ht="12.75">
      <c r="A715" s="70"/>
      <c r="B715" s="83"/>
      <c r="C715" s="84"/>
      <c r="D715" s="83"/>
      <c r="E715" s="83"/>
    </row>
    <row r="716" spans="1:5" ht="12.75">
      <c r="A716" s="70"/>
      <c r="B716" s="83"/>
      <c r="C716" s="84"/>
      <c r="D716" s="83"/>
      <c r="E716" s="83"/>
    </row>
    <row r="717" spans="1:5" ht="12.75">
      <c r="A717" s="70"/>
      <c r="B717" s="83"/>
      <c r="C717" s="84"/>
      <c r="D717" s="83"/>
      <c r="E717" s="83"/>
    </row>
    <row r="718" spans="1:5" ht="12.75">
      <c r="A718" s="70"/>
      <c r="B718" s="83"/>
      <c r="C718" s="84"/>
      <c r="D718" s="83"/>
      <c r="E718" s="83"/>
    </row>
    <row r="719" spans="1:5" ht="12.75">
      <c r="A719" s="70"/>
      <c r="B719" s="83"/>
      <c r="C719" s="84"/>
      <c r="D719" s="83"/>
      <c r="E719" s="83"/>
    </row>
    <row r="720" spans="1:5" ht="12.75">
      <c r="A720" s="70"/>
      <c r="B720" s="83"/>
      <c r="C720" s="84"/>
      <c r="D720" s="83"/>
      <c r="E720" s="83"/>
    </row>
    <row r="721" spans="1:5" ht="12.75">
      <c r="A721" s="70"/>
      <c r="B721" s="83"/>
      <c r="C721" s="84"/>
      <c r="D721" s="83"/>
      <c r="E721" s="83"/>
    </row>
    <row r="722" spans="1:5" ht="12.75">
      <c r="A722" s="70"/>
      <c r="B722" s="83"/>
      <c r="C722" s="84"/>
      <c r="D722" s="83"/>
      <c r="E722" s="83"/>
    </row>
    <row r="723" spans="1:5" ht="12.75">
      <c r="A723" s="70"/>
      <c r="B723" s="83"/>
      <c r="C723" s="84"/>
      <c r="D723" s="83"/>
      <c r="E723" s="83"/>
    </row>
    <row r="724" spans="1:5" ht="12.75">
      <c r="A724" s="70"/>
      <c r="B724" s="83"/>
      <c r="C724" s="84"/>
      <c r="D724" s="83"/>
      <c r="E724" s="83"/>
    </row>
    <row r="725" spans="1:5" ht="12.75">
      <c r="A725" s="70"/>
      <c r="B725" s="83"/>
      <c r="C725" s="84"/>
      <c r="D725" s="83"/>
      <c r="E725" s="83"/>
    </row>
    <row r="726" spans="1:5" ht="12.75">
      <c r="A726" s="70"/>
      <c r="B726" s="83"/>
      <c r="C726" s="84"/>
      <c r="D726" s="83"/>
      <c r="E726" s="83"/>
    </row>
    <row r="727" spans="1:5" ht="12.75">
      <c r="A727" s="70"/>
      <c r="B727" s="83"/>
      <c r="C727" s="84"/>
      <c r="D727" s="83"/>
      <c r="E727" s="83"/>
    </row>
    <row r="728" spans="1:5" ht="12.75">
      <c r="A728" s="70"/>
      <c r="B728" s="83"/>
      <c r="C728" s="84"/>
      <c r="D728" s="83"/>
      <c r="E728" s="83"/>
    </row>
    <row r="729" spans="1:5" ht="12.75">
      <c r="A729" s="70"/>
      <c r="B729" s="83"/>
      <c r="C729" s="84"/>
      <c r="D729" s="83"/>
      <c r="E729" s="83"/>
    </row>
    <row r="730" spans="1:5" ht="12.75">
      <c r="A730" s="70"/>
      <c r="B730" s="83"/>
      <c r="C730" s="84"/>
      <c r="D730" s="83"/>
      <c r="E730" s="83"/>
    </row>
    <row r="731" spans="1:5" ht="12.75">
      <c r="A731" s="70"/>
      <c r="B731" s="83"/>
      <c r="C731" s="84"/>
      <c r="D731" s="83"/>
      <c r="E731" s="83"/>
    </row>
    <row r="732" spans="1:5" ht="12.75">
      <c r="A732" s="70"/>
      <c r="B732" s="83"/>
      <c r="C732" s="84"/>
      <c r="D732" s="83"/>
      <c r="E732" s="83"/>
    </row>
    <row r="733" spans="1:5" ht="12.75">
      <c r="A733" s="70"/>
      <c r="B733" s="83"/>
      <c r="C733" s="84"/>
      <c r="D733" s="83"/>
      <c r="E733" s="83"/>
    </row>
    <row r="734" spans="1:5" ht="12.75">
      <c r="A734" s="70"/>
      <c r="B734" s="83"/>
      <c r="C734" s="84"/>
      <c r="D734" s="83"/>
      <c r="E734" s="83"/>
    </row>
    <row r="735" spans="1:5" ht="12.75">
      <c r="A735" s="70"/>
      <c r="B735" s="83"/>
      <c r="C735" s="84"/>
      <c r="D735" s="83"/>
      <c r="E735" s="83"/>
    </row>
    <row r="736" spans="1:5" ht="12.75">
      <c r="A736" s="70"/>
      <c r="B736" s="83"/>
      <c r="C736" s="84"/>
      <c r="D736" s="83"/>
      <c r="E736" s="83"/>
    </row>
    <row r="737" spans="1:5" ht="12.75">
      <c r="A737" s="70"/>
      <c r="B737" s="83"/>
      <c r="C737" s="84"/>
      <c r="D737" s="83"/>
      <c r="E737" s="83"/>
    </row>
    <row r="738" spans="1:5" ht="12.75">
      <c r="A738" s="70"/>
      <c r="B738" s="83"/>
      <c r="C738" s="84"/>
      <c r="D738" s="83"/>
      <c r="E738" s="83"/>
    </row>
    <row r="739" spans="1:5" ht="12.75">
      <c r="A739" s="70"/>
      <c r="B739" s="83"/>
      <c r="C739" s="84"/>
      <c r="D739" s="83"/>
      <c r="E739" s="83"/>
    </row>
    <row r="740" spans="1:5" ht="12.75">
      <c r="A740" s="70"/>
      <c r="B740" s="83"/>
      <c r="C740" s="84"/>
      <c r="D740" s="83"/>
      <c r="E740" s="83"/>
    </row>
    <row r="741" spans="1:5" ht="12.75">
      <c r="A741" s="70"/>
      <c r="B741" s="83"/>
      <c r="C741" s="84"/>
      <c r="D741" s="83"/>
      <c r="E741" s="83"/>
    </row>
    <row r="742" spans="1:5" ht="12.75">
      <c r="A742" s="70"/>
      <c r="B742" s="83"/>
      <c r="C742" s="84"/>
      <c r="D742" s="83"/>
      <c r="E742" s="83"/>
    </row>
    <row r="743" spans="1:5" ht="12.75">
      <c r="A743" s="70"/>
      <c r="B743" s="83"/>
      <c r="C743" s="84"/>
      <c r="D743" s="83"/>
      <c r="E743" s="83"/>
    </row>
    <row r="744" spans="1:5" ht="12.75">
      <c r="A744" s="70"/>
      <c r="B744" s="83"/>
      <c r="C744" s="84"/>
      <c r="D744" s="83"/>
      <c r="E744" s="83"/>
    </row>
    <row r="745" spans="1:5" ht="12.75">
      <c r="A745" s="70"/>
      <c r="B745" s="83"/>
      <c r="C745" s="84"/>
      <c r="D745" s="83"/>
      <c r="E745" s="83"/>
    </row>
    <row r="746" spans="1:5" ht="12.75">
      <c r="A746" s="70"/>
      <c r="B746" s="83"/>
      <c r="C746" s="84"/>
      <c r="D746" s="83"/>
      <c r="E746" s="83"/>
    </row>
    <row r="747" spans="1:5" ht="12.75">
      <c r="A747" s="70"/>
      <c r="B747" s="83"/>
      <c r="C747" s="84"/>
      <c r="D747" s="83"/>
      <c r="E747" s="83"/>
    </row>
    <row r="748" spans="1:5" ht="12.75">
      <c r="A748" s="70"/>
      <c r="B748" s="83"/>
      <c r="C748" s="84"/>
      <c r="D748" s="83"/>
      <c r="E748" s="83"/>
    </row>
    <row r="749" spans="1:5" ht="12.75">
      <c r="A749" s="70"/>
      <c r="B749" s="83"/>
      <c r="C749" s="84"/>
      <c r="D749" s="83"/>
      <c r="E749" s="83"/>
    </row>
    <row r="750" spans="1:5" ht="12.75">
      <c r="A750" s="70"/>
      <c r="B750" s="83"/>
      <c r="C750" s="84"/>
      <c r="D750" s="83"/>
      <c r="E750" s="83"/>
    </row>
    <row r="751" spans="1:5" ht="12.75">
      <c r="A751" s="70"/>
      <c r="B751" s="83"/>
      <c r="C751" s="84"/>
      <c r="D751" s="83"/>
      <c r="E751" s="83"/>
    </row>
    <row r="752" spans="1:5" ht="12.75">
      <c r="A752" s="70"/>
      <c r="B752" s="83"/>
      <c r="C752" s="84"/>
      <c r="D752" s="83"/>
      <c r="E752" s="83"/>
    </row>
    <row r="753" spans="1:5" ht="12.75">
      <c r="A753" s="70"/>
      <c r="B753" s="83"/>
      <c r="C753" s="84"/>
      <c r="D753" s="83"/>
      <c r="E753" s="83"/>
    </row>
    <row r="754" spans="1:5" ht="12.75">
      <c r="A754" s="70"/>
      <c r="B754" s="83"/>
      <c r="C754" s="84"/>
      <c r="D754" s="83"/>
      <c r="E754" s="83"/>
    </row>
    <row r="755" spans="1:5" ht="12.75">
      <c r="A755" s="70"/>
      <c r="B755" s="83"/>
      <c r="C755" s="84"/>
      <c r="D755" s="83"/>
      <c r="E755" s="83"/>
    </row>
    <row r="756" spans="1:5" ht="12.75">
      <c r="A756" s="70"/>
      <c r="B756" s="83"/>
      <c r="C756" s="84"/>
      <c r="D756" s="83"/>
      <c r="E756" s="83"/>
    </row>
    <row r="757" spans="1:5" ht="12.75">
      <c r="A757" s="70"/>
      <c r="B757" s="83"/>
      <c r="C757" s="84"/>
      <c r="D757" s="83"/>
      <c r="E757" s="83"/>
    </row>
    <row r="758" spans="1:5" ht="12.75">
      <c r="A758" s="70"/>
      <c r="B758" s="83"/>
      <c r="C758" s="84"/>
      <c r="D758" s="83"/>
      <c r="E758" s="83"/>
    </row>
    <row r="759" spans="1:5" ht="12.75">
      <c r="A759" s="70"/>
      <c r="B759" s="83"/>
      <c r="C759" s="84"/>
      <c r="D759" s="83"/>
      <c r="E759" s="83"/>
    </row>
    <row r="760" spans="1:5" ht="12.75">
      <c r="A760" s="70"/>
      <c r="B760" s="83"/>
      <c r="C760" s="84"/>
      <c r="D760" s="83"/>
      <c r="E760" s="83"/>
    </row>
    <row r="761" spans="1:5" ht="12.75">
      <c r="A761" s="70"/>
      <c r="B761" s="83"/>
      <c r="C761" s="84"/>
      <c r="D761" s="83"/>
      <c r="E761" s="83"/>
    </row>
    <row r="762" spans="1:5" ht="12.75">
      <c r="A762" s="70"/>
      <c r="B762" s="83"/>
      <c r="C762" s="84"/>
      <c r="D762" s="83"/>
      <c r="E762" s="83"/>
    </row>
    <row r="763" spans="1:5" ht="12.75">
      <c r="A763" s="70"/>
      <c r="B763" s="83"/>
      <c r="C763" s="84"/>
      <c r="D763" s="83"/>
      <c r="E763" s="83"/>
    </row>
    <row r="764" spans="1:5" ht="12.75">
      <c r="A764" s="70"/>
      <c r="B764" s="83"/>
      <c r="C764" s="84"/>
      <c r="D764" s="83"/>
      <c r="E764" s="83"/>
    </row>
    <row r="765" spans="1:5" ht="12.75">
      <c r="A765" s="70"/>
      <c r="B765" s="83"/>
      <c r="C765" s="84"/>
      <c r="D765" s="83"/>
      <c r="E765" s="83"/>
    </row>
    <row r="766" spans="1:5" ht="12.75">
      <c r="A766" s="70"/>
      <c r="B766" s="83"/>
      <c r="C766" s="84"/>
      <c r="D766" s="83"/>
      <c r="E766" s="83"/>
    </row>
    <row r="767" spans="1:5" ht="12.75">
      <c r="A767" s="70"/>
      <c r="B767" s="83"/>
      <c r="C767" s="84"/>
      <c r="D767" s="83"/>
      <c r="E767" s="83"/>
    </row>
    <row r="768" spans="1:5" ht="12.75">
      <c r="A768" s="70"/>
      <c r="B768" s="83"/>
      <c r="C768" s="84"/>
      <c r="D768" s="83"/>
      <c r="E768" s="83"/>
    </row>
    <row r="769" spans="1:5" ht="12.75">
      <c r="A769" s="70"/>
      <c r="B769" s="83"/>
      <c r="C769" s="84"/>
      <c r="D769" s="83"/>
      <c r="E769" s="83"/>
    </row>
    <row r="770" spans="1:5" ht="12.75">
      <c r="A770" s="70"/>
      <c r="B770" s="83"/>
      <c r="C770" s="84"/>
      <c r="D770" s="83"/>
      <c r="E770" s="83"/>
    </row>
    <row r="771" spans="1:5" ht="12.75">
      <c r="A771" s="70"/>
      <c r="B771" s="83"/>
      <c r="C771" s="84"/>
      <c r="D771" s="83"/>
      <c r="E771" s="83"/>
    </row>
    <row r="772" spans="1:5" ht="12.75">
      <c r="A772" s="70"/>
      <c r="B772" s="83"/>
      <c r="C772" s="84"/>
      <c r="D772" s="83"/>
      <c r="E772" s="83"/>
    </row>
    <row r="773" spans="1:5" ht="12.75">
      <c r="A773" s="70"/>
      <c r="B773" s="83"/>
      <c r="C773" s="84"/>
      <c r="D773" s="83"/>
      <c r="E773" s="83"/>
    </row>
    <row r="774" spans="1:5" ht="12.75">
      <c r="A774" s="70"/>
      <c r="B774" s="83"/>
      <c r="C774" s="84"/>
      <c r="D774" s="83"/>
      <c r="E774" s="83"/>
    </row>
    <row r="775" spans="1:5" ht="12.75">
      <c r="A775" s="70"/>
      <c r="B775" s="83"/>
      <c r="C775" s="84"/>
      <c r="D775" s="83"/>
      <c r="E775" s="83"/>
    </row>
    <row r="776" spans="1:5" ht="12.75">
      <c r="A776" s="70"/>
      <c r="B776" s="83"/>
      <c r="C776" s="84"/>
      <c r="D776" s="83"/>
      <c r="E776" s="83"/>
    </row>
    <row r="777" spans="1:5" ht="12.75">
      <c r="A777" s="70"/>
      <c r="B777" s="83"/>
      <c r="C777" s="84"/>
      <c r="D777" s="83"/>
      <c r="E777" s="83"/>
    </row>
    <row r="778" spans="1:5" ht="12.75">
      <c r="A778" s="70"/>
      <c r="B778" s="83"/>
      <c r="C778" s="84"/>
      <c r="D778" s="83"/>
      <c r="E778" s="83"/>
    </row>
    <row r="779" spans="1:5" ht="12.75">
      <c r="A779" s="70"/>
      <c r="B779" s="83"/>
      <c r="C779" s="84"/>
      <c r="D779" s="83"/>
      <c r="E779" s="83"/>
    </row>
    <row r="780" spans="1:5" ht="12.75">
      <c r="A780" s="70"/>
      <c r="B780" s="83"/>
      <c r="C780" s="84"/>
      <c r="D780" s="83"/>
      <c r="E780" s="83"/>
    </row>
    <row r="781" spans="1:5" ht="12.75">
      <c r="A781" s="70"/>
      <c r="B781" s="83"/>
      <c r="C781" s="84"/>
      <c r="D781" s="83"/>
      <c r="E781" s="83"/>
    </row>
    <row r="782" spans="1:5" ht="12.75">
      <c r="A782" s="70"/>
      <c r="B782" s="83"/>
      <c r="C782" s="84"/>
      <c r="D782" s="83"/>
      <c r="E782" s="83"/>
    </row>
    <row r="783" spans="1:5" ht="12.75">
      <c r="A783" s="70"/>
      <c r="B783" s="83"/>
      <c r="C783" s="84"/>
      <c r="D783" s="83"/>
      <c r="E783" s="83"/>
    </row>
    <row r="784" spans="1:5" ht="12.75">
      <c r="A784" s="70"/>
      <c r="B784" s="83"/>
      <c r="C784" s="84"/>
      <c r="D784" s="83"/>
      <c r="E784" s="83"/>
    </row>
    <row r="785" spans="1:5" ht="12.75">
      <c r="A785" s="70"/>
      <c r="B785" s="83"/>
      <c r="C785" s="84"/>
      <c r="D785" s="83"/>
      <c r="E785" s="83"/>
    </row>
    <row r="786" spans="1:5" ht="12.75">
      <c r="A786" s="70"/>
      <c r="B786" s="83"/>
      <c r="C786" s="84"/>
      <c r="D786" s="83"/>
      <c r="E786" s="83"/>
    </row>
    <row r="787" spans="1:5" ht="12.75">
      <c r="A787" s="70"/>
      <c r="B787" s="83"/>
      <c r="C787" s="84"/>
      <c r="D787" s="83"/>
      <c r="E787" s="83"/>
    </row>
    <row r="788" spans="1:5" ht="12.75">
      <c r="A788" s="70"/>
      <c r="B788" s="83"/>
      <c r="C788" s="84"/>
      <c r="D788" s="83"/>
      <c r="E788" s="83"/>
    </row>
    <row r="789" spans="1:5" ht="12.75">
      <c r="A789" s="70"/>
      <c r="B789" s="83"/>
      <c r="C789" s="84"/>
      <c r="D789" s="83"/>
      <c r="E789" s="83"/>
    </row>
    <row r="790" spans="1:5" ht="12.75">
      <c r="A790" s="70"/>
      <c r="B790" s="83"/>
      <c r="C790" s="84"/>
      <c r="D790" s="83"/>
      <c r="E790" s="83"/>
    </row>
    <row r="791" spans="1:5" ht="12.75">
      <c r="A791" s="70"/>
      <c r="B791" s="83"/>
      <c r="C791" s="84"/>
      <c r="D791" s="83"/>
      <c r="E791" s="83"/>
    </row>
    <row r="792" spans="1:5" ht="12.75">
      <c r="A792" s="70"/>
      <c r="B792" s="83"/>
      <c r="C792" s="84"/>
      <c r="D792" s="83"/>
      <c r="E792" s="83"/>
    </row>
    <row r="793" spans="1:5" ht="12.75">
      <c r="A793" s="70"/>
      <c r="B793" s="83"/>
      <c r="C793" s="84"/>
      <c r="D793" s="83"/>
      <c r="E793" s="83"/>
    </row>
    <row r="794" spans="1:5" ht="12.75">
      <c r="A794" s="70"/>
      <c r="B794" s="83"/>
      <c r="C794" s="84"/>
      <c r="D794" s="83"/>
      <c r="E794" s="83"/>
    </row>
    <row r="795" spans="1:5" ht="12.75">
      <c r="A795" s="70"/>
      <c r="B795" s="83"/>
      <c r="C795" s="84"/>
      <c r="D795" s="83"/>
      <c r="E795" s="83"/>
    </row>
    <row r="796" spans="1:5" ht="12.75">
      <c r="A796" s="70"/>
      <c r="B796" s="83"/>
      <c r="C796" s="84"/>
      <c r="D796" s="83"/>
      <c r="E796" s="83"/>
    </row>
    <row r="797" spans="1:5" ht="12.75">
      <c r="A797" s="70"/>
      <c r="B797" s="83"/>
      <c r="C797" s="84"/>
      <c r="D797" s="83"/>
      <c r="E797" s="83"/>
    </row>
    <row r="798" spans="1:5" ht="12.75">
      <c r="A798" s="70"/>
      <c r="B798" s="83"/>
      <c r="C798" s="84"/>
      <c r="D798" s="83"/>
      <c r="E798" s="83"/>
    </row>
    <row r="799" spans="1:5" ht="12.75">
      <c r="A799" s="70"/>
      <c r="B799" s="83"/>
      <c r="C799" s="84"/>
      <c r="D799" s="83"/>
      <c r="E799" s="83"/>
    </row>
    <row r="800" spans="1:5" ht="12.75">
      <c r="A800" s="70"/>
      <c r="B800" s="83"/>
      <c r="C800" s="84"/>
      <c r="D800" s="83"/>
      <c r="E800" s="83"/>
    </row>
    <row r="801" spans="1:5" ht="12.75">
      <c r="A801" s="70"/>
      <c r="B801" s="83"/>
      <c r="C801" s="84"/>
      <c r="D801" s="83"/>
      <c r="E801" s="83"/>
    </row>
    <row r="802" spans="1:5" ht="12.75">
      <c r="A802" s="70"/>
      <c r="B802" s="83"/>
      <c r="C802" s="84"/>
      <c r="D802" s="83"/>
      <c r="E802" s="83"/>
    </row>
    <row r="803" spans="1:5" ht="12.75">
      <c r="A803" s="70"/>
      <c r="B803" s="83"/>
      <c r="C803" s="84"/>
      <c r="D803" s="83"/>
      <c r="E803" s="83"/>
    </row>
    <row r="804" spans="1:5" ht="12.75">
      <c r="A804" s="70"/>
      <c r="B804" s="83"/>
      <c r="C804" s="84"/>
      <c r="D804" s="83"/>
      <c r="E804" s="83"/>
    </row>
    <row r="805" spans="1:5" ht="12.75">
      <c r="A805" s="70"/>
      <c r="B805" s="83"/>
      <c r="C805" s="84"/>
      <c r="D805" s="83"/>
      <c r="E805" s="83"/>
    </row>
    <row r="806" spans="1:5" ht="12.75">
      <c r="A806" s="70"/>
      <c r="B806" s="83"/>
      <c r="C806" s="84"/>
      <c r="D806" s="83"/>
      <c r="E806" s="83"/>
    </row>
    <row r="807" spans="1:5" ht="12.75">
      <c r="A807" s="70"/>
      <c r="B807" s="83"/>
      <c r="C807" s="84"/>
      <c r="D807" s="83"/>
      <c r="E807" s="83"/>
    </row>
    <row r="808" spans="1:5" ht="12.75">
      <c r="A808" s="70"/>
      <c r="B808" s="83"/>
      <c r="C808" s="84"/>
      <c r="D808" s="83"/>
      <c r="E808" s="83"/>
    </row>
    <row r="809" spans="1:5" ht="12.75">
      <c r="A809" s="70"/>
      <c r="B809" s="83"/>
      <c r="C809" s="84"/>
      <c r="D809" s="83"/>
      <c r="E809" s="83"/>
    </row>
    <row r="810" spans="1:5" ht="12.75">
      <c r="A810" s="70"/>
      <c r="B810" s="83"/>
      <c r="C810" s="84"/>
      <c r="D810" s="83"/>
      <c r="E810" s="83"/>
    </row>
    <row r="811" spans="1:5" ht="12.75">
      <c r="A811" s="70"/>
      <c r="B811" s="83"/>
      <c r="C811" s="84"/>
      <c r="D811" s="83"/>
      <c r="E811" s="83"/>
    </row>
    <row r="812" spans="1:5" ht="12.75">
      <c r="A812" s="70"/>
      <c r="B812" s="83"/>
      <c r="C812" s="84"/>
      <c r="D812" s="83"/>
      <c r="E812" s="83"/>
    </row>
    <row r="813" spans="1:5" ht="12.75">
      <c r="A813" s="70"/>
      <c r="B813" s="83"/>
      <c r="C813" s="84"/>
      <c r="D813" s="83"/>
      <c r="E813" s="83"/>
    </row>
    <row r="814" spans="1:5" ht="12.75">
      <c r="A814" s="70"/>
      <c r="B814" s="83"/>
      <c r="C814" s="84"/>
      <c r="D814" s="83"/>
      <c r="E814" s="83"/>
    </row>
    <row r="815" spans="1:5" ht="12.75">
      <c r="A815" s="70"/>
      <c r="B815" s="83"/>
      <c r="C815" s="84"/>
      <c r="D815" s="83"/>
      <c r="E815" s="83"/>
    </row>
    <row r="816" spans="1:5" ht="12.75">
      <c r="A816" s="70"/>
      <c r="B816" s="83"/>
      <c r="C816" s="84"/>
      <c r="D816" s="83"/>
      <c r="E816" s="83"/>
    </row>
    <row r="817" spans="1:5" ht="12.75">
      <c r="A817" s="70"/>
      <c r="B817" s="83"/>
      <c r="C817" s="84"/>
      <c r="D817" s="83"/>
      <c r="E817" s="83"/>
    </row>
    <row r="818" spans="1:5" ht="12.75">
      <c r="A818" s="70"/>
      <c r="B818" s="83"/>
      <c r="C818" s="84"/>
      <c r="D818" s="83"/>
      <c r="E818" s="83"/>
    </row>
    <row r="819" spans="1:5" ht="12.75">
      <c r="A819" s="70"/>
      <c r="B819" s="83"/>
      <c r="C819" s="84"/>
      <c r="D819" s="83"/>
      <c r="E819" s="83"/>
    </row>
    <row r="820" spans="1:5" ht="12.75">
      <c r="A820" s="70"/>
      <c r="B820" s="83"/>
      <c r="C820" s="84"/>
      <c r="D820" s="83"/>
      <c r="E820" s="83"/>
    </row>
    <row r="821" spans="1:5" ht="12.75">
      <c r="A821" s="70"/>
      <c r="B821" s="83"/>
      <c r="C821" s="84"/>
      <c r="D821" s="83"/>
      <c r="E821" s="83"/>
    </row>
    <row r="822" spans="1:5" ht="12.75">
      <c r="A822" s="70"/>
      <c r="B822" s="83"/>
      <c r="C822" s="84"/>
      <c r="D822" s="83"/>
      <c r="E822" s="83"/>
    </row>
    <row r="823" spans="1:5" ht="12.75">
      <c r="A823" s="70"/>
      <c r="B823" s="83"/>
      <c r="C823" s="84"/>
      <c r="D823" s="83"/>
      <c r="E823" s="83"/>
    </row>
    <row r="824" spans="1:5" ht="12.75">
      <c r="A824" s="70"/>
      <c r="B824" s="83"/>
      <c r="C824" s="84"/>
      <c r="D824" s="83"/>
      <c r="E824" s="83"/>
    </row>
    <row r="825" spans="1:5" ht="12.75">
      <c r="A825" s="70"/>
      <c r="B825" s="83"/>
      <c r="C825" s="84"/>
      <c r="D825" s="83"/>
      <c r="E825" s="83"/>
    </row>
    <row r="826" spans="1:5" ht="12.75">
      <c r="A826" s="70"/>
      <c r="B826" s="83"/>
      <c r="C826" s="84"/>
      <c r="D826" s="83"/>
      <c r="E826" s="83"/>
    </row>
    <row r="827" spans="1:5" ht="12.75">
      <c r="A827" s="70"/>
      <c r="B827" s="83"/>
      <c r="C827" s="84"/>
      <c r="D827" s="83"/>
      <c r="E827" s="83"/>
    </row>
    <row r="828" spans="1:5" ht="12.75">
      <c r="A828" s="70"/>
      <c r="B828" s="83"/>
      <c r="C828" s="84"/>
      <c r="D828" s="83"/>
      <c r="E828" s="83"/>
    </row>
    <row r="829" spans="1:5" ht="12.75">
      <c r="A829" s="70"/>
      <c r="B829" s="83"/>
      <c r="C829" s="84"/>
      <c r="D829" s="83"/>
      <c r="E829" s="83"/>
    </row>
    <row r="830" spans="1:5" ht="12.75">
      <c r="A830" s="70"/>
      <c r="B830" s="83"/>
      <c r="C830" s="84"/>
      <c r="D830" s="83"/>
      <c r="E830" s="83"/>
    </row>
    <row r="831" spans="1:5" ht="12.75">
      <c r="A831" s="70"/>
      <c r="B831" s="83"/>
      <c r="C831" s="84"/>
      <c r="D831" s="83"/>
      <c r="E831" s="83"/>
    </row>
    <row r="832" spans="1:5" ht="12.75">
      <c r="A832" s="70"/>
      <c r="B832" s="83"/>
      <c r="C832" s="84"/>
      <c r="D832" s="83"/>
      <c r="E832" s="83"/>
    </row>
    <row r="833" spans="1:5" ht="12.75">
      <c r="A833" s="70"/>
      <c r="B833" s="83"/>
      <c r="C833" s="84"/>
      <c r="D833" s="83"/>
      <c r="E833" s="83"/>
    </row>
    <row r="834" spans="1:5" ht="12.75">
      <c r="A834" s="70"/>
      <c r="B834" s="83"/>
      <c r="C834" s="84"/>
      <c r="D834" s="83"/>
      <c r="E834" s="83"/>
    </row>
    <row r="835" spans="1:5" ht="12.75">
      <c r="A835" s="70"/>
      <c r="B835" s="83"/>
      <c r="C835" s="84"/>
      <c r="D835" s="83"/>
      <c r="E835" s="83"/>
    </row>
    <row r="836" spans="1:5" ht="12.75">
      <c r="A836" s="70"/>
      <c r="B836" s="83"/>
      <c r="C836" s="84"/>
      <c r="D836" s="83"/>
      <c r="E836" s="83"/>
    </row>
    <row r="837" spans="1:5" ht="12.75">
      <c r="A837" s="70"/>
      <c r="B837" s="83"/>
      <c r="C837" s="84"/>
      <c r="D837" s="83"/>
      <c r="E837" s="83"/>
    </row>
    <row r="838" spans="1:5" ht="12.75">
      <c r="A838" s="70"/>
      <c r="B838" s="83"/>
      <c r="C838" s="84"/>
      <c r="D838" s="83"/>
      <c r="E838" s="83"/>
    </row>
    <row r="839" spans="1:5" ht="12.75">
      <c r="A839" s="70"/>
      <c r="B839" s="83"/>
      <c r="C839" s="84"/>
      <c r="D839" s="83"/>
      <c r="E839" s="83"/>
    </row>
    <row r="840" spans="1:5" ht="12.75">
      <c r="A840" s="70"/>
      <c r="B840" s="83"/>
      <c r="C840" s="84"/>
      <c r="D840" s="83"/>
      <c r="E840" s="83"/>
    </row>
    <row r="841" spans="1:5" ht="12.75">
      <c r="A841" s="70"/>
      <c r="B841" s="83"/>
      <c r="C841" s="84"/>
      <c r="D841" s="83"/>
      <c r="E841" s="83"/>
    </row>
    <row r="842" spans="1:5" ht="12.75">
      <c r="A842" s="70"/>
      <c r="B842" s="83"/>
      <c r="C842" s="84"/>
      <c r="D842" s="83"/>
      <c r="E842" s="83"/>
    </row>
    <row r="843" spans="1:5" ht="12.75">
      <c r="A843" s="70"/>
      <c r="B843" s="83"/>
      <c r="C843" s="84"/>
      <c r="D843" s="83"/>
      <c r="E843" s="83"/>
    </row>
    <row r="844" spans="1:5" ht="12.75">
      <c r="A844" s="70"/>
      <c r="B844" s="83"/>
      <c r="C844" s="84"/>
      <c r="D844" s="83"/>
      <c r="E844" s="83"/>
    </row>
    <row r="845" spans="1:5" ht="12.75">
      <c r="A845" s="70"/>
      <c r="B845" s="83"/>
      <c r="C845" s="84"/>
      <c r="D845" s="83"/>
      <c r="E845" s="83"/>
    </row>
    <row r="846" spans="1:5" ht="12.75">
      <c r="A846" s="70"/>
      <c r="B846" s="83"/>
      <c r="C846" s="84"/>
      <c r="D846" s="83"/>
      <c r="E846" s="83"/>
    </row>
    <row r="847" spans="1:5" ht="12.75">
      <c r="A847" s="70"/>
      <c r="B847" s="83"/>
      <c r="C847" s="84"/>
      <c r="D847" s="83"/>
      <c r="E847" s="83"/>
    </row>
    <row r="848" spans="1:5" ht="12.75">
      <c r="A848" s="70"/>
      <c r="B848" s="83"/>
      <c r="C848" s="84"/>
      <c r="D848" s="83"/>
      <c r="E848" s="83"/>
    </row>
    <row r="849" spans="1:5" ht="12.75">
      <c r="A849" s="70"/>
      <c r="B849" s="83"/>
      <c r="C849" s="84"/>
      <c r="D849" s="83"/>
      <c r="E849" s="83"/>
    </row>
    <row r="850" spans="1:5" ht="12.75">
      <c r="A850" s="70"/>
      <c r="B850" s="83"/>
      <c r="C850" s="84"/>
      <c r="D850" s="83"/>
      <c r="E850" s="83"/>
    </row>
    <row r="851" spans="1:5" ht="12.75">
      <c r="A851" s="70"/>
      <c r="B851" s="83"/>
      <c r="C851" s="84"/>
      <c r="D851" s="83"/>
      <c r="E851" s="83"/>
    </row>
    <row r="852" spans="1:5" ht="12.75">
      <c r="A852" s="70"/>
      <c r="B852" s="83"/>
      <c r="C852" s="84"/>
      <c r="D852" s="83"/>
      <c r="E852" s="83"/>
    </row>
    <row r="853" spans="1:5" ht="12.75">
      <c r="A853" s="70"/>
      <c r="B853" s="83"/>
      <c r="C853" s="84"/>
      <c r="D853" s="83"/>
      <c r="E853" s="83"/>
    </row>
    <row r="854" spans="1:5" ht="12.75">
      <c r="A854" s="70"/>
      <c r="B854" s="83"/>
      <c r="C854" s="84"/>
      <c r="D854" s="83"/>
      <c r="E854" s="83"/>
    </row>
    <row r="855" spans="1:5" ht="12.75">
      <c r="A855" s="70"/>
      <c r="B855" s="83"/>
      <c r="C855" s="84"/>
      <c r="D855" s="83"/>
      <c r="E855" s="83"/>
    </row>
    <row r="856" spans="1:5" ht="12.75">
      <c r="A856" s="70"/>
      <c r="B856" s="83"/>
      <c r="C856" s="84"/>
      <c r="D856" s="83"/>
      <c r="E856" s="83"/>
    </row>
    <row r="857" spans="1:5" ht="12.75">
      <c r="A857" s="70"/>
      <c r="B857" s="83"/>
      <c r="C857" s="84"/>
      <c r="D857" s="83"/>
      <c r="E857" s="83"/>
    </row>
    <row r="858" spans="1:5" ht="12.75">
      <c r="A858" s="70"/>
      <c r="B858" s="83"/>
      <c r="C858" s="84"/>
      <c r="D858" s="83"/>
      <c r="E858" s="83"/>
    </row>
    <row r="859" spans="1:5" ht="12.75">
      <c r="A859" s="70"/>
      <c r="B859" s="83"/>
      <c r="C859" s="84"/>
      <c r="D859" s="83"/>
      <c r="E859" s="83"/>
    </row>
    <row r="860" spans="1:5" ht="12.75">
      <c r="A860" s="70"/>
      <c r="B860" s="83"/>
      <c r="C860" s="84"/>
      <c r="D860" s="83"/>
      <c r="E860" s="83"/>
    </row>
    <row r="861" spans="1:5" ht="12.75">
      <c r="A861" s="70"/>
      <c r="B861" s="83"/>
      <c r="C861" s="84"/>
      <c r="D861" s="83"/>
      <c r="E861" s="83"/>
    </row>
    <row r="862" spans="1:5" ht="12.75">
      <c r="A862" s="70"/>
      <c r="B862" s="83"/>
      <c r="C862" s="84"/>
      <c r="D862" s="83"/>
      <c r="E862" s="83"/>
    </row>
    <row r="863" spans="1:5" ht="12.75">
      <c r="A863" s="70"/>
      <c r="B863" s="83"/>
      <c r="C863" s="84"/>
      <c r="D863" s="83"/>
      <c r="E863" s="83"/>
    </row>
    <row r="864" spans="1:5" ht="12.75">
      <c r="A864" s="70"/>
      <c r="B864" s="83"/>
      <c r="C864" s="84"/>
      <c r="D864" s="83"/>
      <c r="E864" s="83"/>
    </row>
    <row r="865" spans="1:5" ht="12.75">
      <c r="A865" s="70"/>
      <c r="B865" s="83"/>
      <c r="C865" s="84"/>
      <c r="D865" s="83"/>
      <c r="E865" s="83"/>
    </row>
    <row r="866" spans="1:5" ht="12.75">
      <c r="A866" s="70"/>
      <c r="B866" s="83"/>
      <c r="C866" s="84"/>
      <c r="D866" s="83"/>
      <c r="E866" s="83"/>
    </row>
    <row r="867" spans="1:5" ht="12.75">
      <c r="A867" s="70"/>
      <c r="B867" s="83"/>
      <c r="C867" s="84"/>
      <c r="D867" s="83"/>
      <c r="E867" s="83"/>
    </row>
    <row r="868" spans="1:5" ht="12.75">
      <c r="A868" s="70"/>
      <c r="B868" s="83"/>
      <c r="C868" s="84"/>
      <c r="D868" s="83"/>
      <c r="E868" s="83"/>
    </row>
    <row r="869" spans="1:5" ht="12.75">
      <c r="A869" s="70"/>
      <c r="B869" s="83"/>
      <c r="C869" s="84"/>
      <c r="D869" s="83"/>
      <c r="E869" s="83"/>
    </row>
    <row r="870" spans="1:5" ht="12.75">
      <c r="A870" s="70"/>
      <c r="B870" s="83"/>
      <c r="C870" s="84"/>
      <c r="D870" s="83"/>
      <c r="E870" s="83"/>
    </row>
    <row r="871" spans="1:5" ht="12.75">
      <c r="A871" s="70"/>
      <c r="B871" s="83"/>
      <c r="C871" s="84"/>
      <c r="D871" s="83"/>
      <c r="E871" s="83"/>
    </row>
    <row r="872" spans="1:5" ht="12.75">
      <c r="A872" s="70"/>
      <c r="B872" s="83"/>
      <c r="C872" s="84"/>
      <c r="D872" s="83"/>
      <c r="E872" s="83"/>
    </row>
    <row r="873" spans="1:5" ht="12.75">
      <c r="A873" s="70"/>
      <c r="B873" s="83"/>
      <c r="C873" s="84"/>
      <c r="D873" s="83"/>
      <c r="E873" s="83"/>
    </row>
    <row r="874" spans="1:5" ht="12.75">
      <c r="A874" s="70"/>
      <c r="B874" s="83"/>
      <c r="C874" s="84"/>
      <c r="D874" s="83"/>
      <c r="E874" s="83"/>
    </row>
    <row r="875" spans="1:5" ht="12.75">
      <c r="A875" s="70"/>
      <c r="B875" s="83"/>
      <c r="C875" s="84"/>
      <c r="D875" s="83"/>
      <c r="E875" s="83"/>
    </row>
    <row r="876" spans="1:5" ht="12.75">
      <c r="A876" s="70"/>
      <c r="B876" s="83"/>
      <c r="C876" s="84"/>
      <c r="D876" s="83"/>
      <c r="E876" s="83"/>
    </row>
    <row r="877" spans="1:5" ht="12.75">
      <c r="A877" s="70"/>
      <c r="B877" s="83"/>
      <c r="C877" s="84"/>
      <c r="D877" s="83"/>
      <c r="E877" s="83"/>
    </row>
    <row r="878" spans="1:5" ht="12.75">
      <c r="A878" s="70"/>
      <c r="B878" s="83"/>
      <c r="C878" s="84"/>
      <c r="D878" s="83"/>
      <c r="E878" s="83"/>
    </row>
    <row r="879" spans="1:5" ht="12.75">
      <c r="A879" s="70"/>
      <c r="B879" s="83"/>
      <c r="C879" s="84"/>
      <c r="D879" s="83"/>
      <c r="E879" s="83"/>
    </row>
    <row r="880" spans="1:5" ht="12.75">
      <c r="A880" s="70"/>
      <c r="B880" s="83"/>
      <c r="C880" s="84"/>
      <c r="D880" s="83"/>
      <c r="E880" s="83"/>
    </row>
    <row r="881" spans="1:5" ht="12.75">
      <c r="A881" s="70"/>
      <c r="B881" s="83"/>
      <c r="C881" s="84"/>
      <c r="D881" s="83"/>
      <c r="E881" s="83"/>
    </row>
    <row r="882" spans="1:5" ht="12.75">
      <c r="A882" s="70"/>
      <c r="B882" s="83"/>
      <c r="C882" s="84"/>
      <c r="D882" s="83"/>
      <c r="E882" s="83"/>
    </row>
    <row r="883" spans="1:5" ht="12.75">
      <c r="A883" s="70"/>
      <c r="B883" s="83"/>
      <c r="C883" s="84"/>
      <c r="D883" s="83"/>
      <c r="E883" s="83"/>
    </row>
    <row r="884" spans="1:5" ht="12.75">
      <c r="A884" s="70"/>
      <c r="B884" s="83"/>
      <c r="C884" s="84"/>
      <c r="D884" s="83"/>
      <c r="E884" s="83"/>
    </row>
    <row r="885" spans="1:5" ht="12.75">
      <c r="A885" s="70"/>
      <c r="B885" s="83"/>
      <c r="C885" s="84"/>
      <c r="D885" s="83"/>
      <c r="E885" s="83"/>
    </row>
    <row r="886" spans="1:5" ht="12.75">
      <c r="A886" s="70"/>
      <c r="B886" s="83"/>
      <c r="C886" s="84"/>
      <c r="D886" s="83"/>
      <c r="E886" s="83"/>
    </row>
    <row r="887" spans="1:5" ht="12.75">
      <c r="A887" s="70"/>
      <c r="B887" s="83"/>
      <c r="C887" s="84"/>
      <c r="D887" s="83"/>
      <c r="E887" s="83"/>
    </row>
    <row r="888" spans="1:5" ht="12.75">
      <c r="A888" s="70"/>
      <c r="B888" s="83"/>
      <c r="C888" s="84"/>
      <c r="D888" s="83"/>
      <c r="E888" s="83"/>
    </row>
    <row r="889" spans="1:5" ht="12.75">
      <c r="A889" s="70"/>
      <c r="B889" s="83"/>
      <c r="C889" s="84"/>
      <c r="D889" s="83"/>
      <c r="E889" s="83"/>
    </row>
    <row r="890" spans="1:5" ht="12.75">
      <c r="A890" s="70"/>
      <c r="B890" s="83"/>
      <c r="C890" s="84"/>
      <c r="D890" s="83"/>
      <c r="E890" s="83"/>
    </row>
    <row r="891" spans="1:5" ht="12.75">
      <c r="A891" s="70"/>
      <c r="B891" s="83"/>
      <c r="C891" s="84"/>
      <c r="D891" s="83"/>
      <c r="E891" s="83"/>
    </row>
    <row r="892" spans="1:5" ht="12.75">
      <c r="A892" s="70"/>
      <c r="B892" s="83"/>
      <c r="C892" s="84"/>
      <c r="D892" s="83"/>
      <c r="E892" s="83"/>
    </row>
    <row r="893" spans="1:5" ht="12.75">
      <c r="A893" s="70"/>
      <c r="B893" s="83"/>
      <c r="C893" s="84"/>
      <c r="D893" s="83"/>
      <c r="E893" s="83"/>
    </row>
    <row r="894" spans="1:5" ht="12.75">
      <c r="A894" s="70"/>
      <c r="B894" s="83"/>
      <c r="C894" s="84"/>
      <c r="D894" s="83"/>
      <c r="E894" s="83"/>
    </row>
    <row r="895" spans="1:5" ht="12.75">
      <c r="A895" s="70"/>
      <c r="B895" s="83"/>
      <c r="C895" s="84"/>
      <c r="D895" s="83"/>
      <c r="E895" s="83"/>
    </row>
    <row r="896" spans="1:5" ht="12.75">
      <c r="A896" s="70"/>
      <c r="B896" s="83"/>
      <c r="C896" s="84"/>
      <c r="D896" s="83"/>
      <c r="E896" s="83"/>
    </row>
    <row r="897" spans="1:5" ht="12.75">
      <c r="A897" s="70"/>
      <c r="B897" s="83"/>
      <c r="C897" s="84"/>
      <c r="D897" s="83"/>
      <c r="E897" s="83"/>
    </row>
    <row r="898" spans="1:5" ht="12.75">
      <c r="A898" s="70"/>
      <c r="B898" s="83"/>
      <c r="C898" s="84"/>
      <c r="D898" s="83"/>
      <c r="E898" s="83"/>
    </row>
    <row r="899" spans="1:5" ht="12.75">
      <c r="A899" s="70"/>
      <c r="B899" s="83"/>
      <c r="C899" s="84"/>
      <c r="D899" s="83"/>
      <c r="E899" s="83"/>
    </row>
    <row r="900" spans="1:5" ht="12.75">
      <c r="A900" s="70"/>
      <c r="B900" s="83"/>
      <c r="C900" s="84"/>
      <c r="D900" s="83"/>
      <c r="E900" s="83"/>
    </row>
    <row r="901" spans="1:5" ht="12.75">
      <c r="A901" s="70"/>
      <c r="B901" s="83"/>
      <c r="C901" s="84"/>
      <c r="D901" s="83"/>
      <c r="E901" s="83"/>
    </row>
    <row r="902" spans="1:5" ht="12.75">
      <c r="A902" s="70"/>
      <c r="B902" s="83"/>
      <c r="C902" s="84"/>
      <c r="D902" s="83"/>
      <c r="E902" s="83"/>
    </row>
    <row r="903" spans="1:5" ht="12.75">
      <c r="A903" s="70"/>
      <c r="B903" s="83"/>
      <c r="C903" s="84"/>
      <c r="D903" s="83"/>
      <c r="E903" s="83"/>
    </row>
    <row r="904" spans="1:5" ht="12.75">
      <c r="A904" s="70"/>
      <c r="B904" s="83"/>
      <c r="C904" s="84"/>
      <c r="D904" s="83"/>
      <c r="E904" s="83"/>
    </row>
    <row r="905" spans="1:5" ht="12.75">
      <c r="A905" s="70"/>
      <c r="B905" s="83"/>
      <c r="C905" s="84"/>
      <c r="D905" s="83"/>
      <c r="E905" s="83"/>
    </row>
    <row r="906" spans="1:5" ht="12.75">
      <c r="A906" s="70"/>
      <c r="B906" s="83"/>
      <c r="C906" s="84"/>
      <c r="D906" s="83"/>
      <c r="E906" s="83"/>
    </row>
    <row r="907" spans="1:5" ht="12.75">
      <c r="A907" s="70"/>
      <c r="B907" s="83"/>
      <c r="C907" s="84"/>
      <c r="D907" s="83"/>
      <c r="E907" s="83"/>
    </row>
    <row r="908" spans="1:5" ht="12.75">
      <c r="A908" s="70"/>
      <c r="B908" s="83"/>
      <c r="C908" s="84"/>
      <c r="D908" s="83"/>
      <c r="E908" s="83"/>
    </row>
    <row r="909" spans="1:5" ht="12.75">
      <c r="A909" s="70"/>
      <c r="B909" s="83"/>
      <c r="C909" s="84"/>
      <c r="D909" s="83"/>
      <c r="E909" s="83"/>
    </row>
    <row r="910" spans="1:5" ht="12.75">
      <c r="A910" s="70"/>
      <c r="B910" s="83"/>
      <c r="C910" s="84"/>
      <c r="D910" s="83"/>
      <c r="E910" s="83"/>
    </row>
    <row r="911" spans="1:5" ht="12.75">
      <c r="A911" s="70"/>
      <c r="B911" s="83"/>
      <c r="C911" s="84"/>
      <c r="D911" s="83"/>
      <c r="E911" s="83"/>
    </row>
    <row r="912" spans="1:5" ht="12.75">
      <c r="A912" s="70"/>
      <c r="B912" s="83"/>
      <c r="C912" s="84"/>
      <c r="D912" s="83"/>
      <c r="E912" s="83"/>
    </row>
    <row r="913" spans="1:5" ht="12.75">
      <c r="A913" s="70"/>
      <c r="B913" s="83"/>
      <c r="C913" s="84"/>
      <c r="D913" s="83"/>
      <c r="E913" s="83"/>
    </row>
    <row r="914" spans="1:5" ht="12.75">
      <c r="A914" s="70"/>
      <c r="B914" s="83"/>
      <c r="C914" s="84"/>
      <c r="D914" s="83"/>
      <c r="E914" s="83"/>
    </row>
    <row r="915" spans="1:5" ht="12.75">
      <c r="A915" s="70"/>
      <c r="B915" s="83"/>
      <c r="C915" s="84"/>
      <c r="D915" s="83"/>
      <c r="E915" s="83"/>
    </row>
    <row r="916" spans="1:5" ht="12.75">
      <c r="A916" s="70"/>
      <c r="B916" s="83"/>
      <c r="C916" s="84"/>
      <c r="D916" s="83"/>
      <c r="E916" s="83"/>
    </row>
    <row r="917" spans="1:5" ht="12.75">
      <c r="A917" s="70"/>
      <c r="B917" s="83"/>
      <c r="C917" s="84"/>
      <c r="D917" s="83"/>
      <c r="E917" s="83"/>
    </row>
    <row r="918" spans="1:5" ht="12.75">
      <c r="A918" s="70"/>
      <c r="B918" s="83"/>
      <c r="C918" s="84"/>
      <c r="D918" s="83"/>
      <c r="E918" s="83"/>
    </row>
    <row r="919" spans="1:5" ht="12.75">
      <c r="A919" s="70"/>
      <c r="B919" s="83"/>
      <c r="C919" s="84"/>
      <c r="D919" s="83"/>
      <c r="E919" s="83"/>
    </row>
    <row r="920" spans="1:5" ht="12.75">
      <c r="A920" s="70"/>
      <c r="B920" s="83"/>
      <c r="C920" s="84"/>
      <c r="D920" s="83"/>
      <c r="E920" s="83"/>
    </row>
    <row r="921" spans="1:5" ht="12.75">
      <c r="A921" s="70"/>
      <c r="B921" s="83"/>
      <c r="C921" s="84"/>
      <c r="D921" s="83"/>
      <c r="E921" s="83"/>
    </row>
    <row r="922" spans="1:5" ht="12.75">
      <c r="A922" s="70"/>
      <c r="B922" s="83"/>
      <c r="C922" s="84"/>
      <c r="D922" s="83"/>
      <c r="E922" s="83"/>
    </row>
    <row r="923" spans="1:5" ht="12.75">
      <c r="A923" s="70"/>
      <c r="B923" s="83"/>
      <c r="C923" s="84"/>
      <c r="D923" s="83"/>
      <c r="E923" s="83"/>
    </row>
    <row r="924" spans="1:5" ht="12.75">
      <c r="A924" s="70"/>
      <c r="B924" s="83"/>
      <c r="C924" s="84"/>
      <c r="D924" s="83"/>
      <c r="E924" s="83"/>
    </row>
    <row r="925" spans="1:5" ht="12.75">
      <c r="A925" s="70"/>
      <c r="B925" s="83"/>
      <c r="C925" s="84"/>
      <c r="D925" s="83"/>
      <c r="E925" s="83"/>
    </row>
    <row r="926" spans="1:5" ht="12.75">
      <c r="A926" s="70"/>
      <c r="B926" s="83"/>
      <c r="C926" s="84"/>
      <c r="D926" s="83"/>
      <c r="E926" s="83"/>
    </row>
    <row r="927" spans="1:5" ht="12.75">
      <c r="A927" s="70"/>
      <c r="B927" s="83"/>
      <c r="C927" s="84"/>
      <c r="D927" s="83"/>
      <c r="E927" s="83"/>
    </row>
    <row r="928" spans="1:5" ht="12.75">
      <c r="A928" s="70"/>
      <c r="B928" s="83"/>
      <c r="C928" s="84"/>
      <c r="D928" s="83"/>
      <c r="E928" s="83"/>
    </row>
    <row r="929" spans="1:5" ht="12.75">
      <c r="A929" s="70"/>
      <c r="B929" s="83"/>
      <c r="C929" s="84"/>
      <c r="D929" s="83"/>
      <c r="E929" s="83"/>
    </row>
    <row r="930" spans="1:5" ht="12.75">
      <c r="A930" s="70"/>
      <c r="B930" s="83"/>
      <c r="C930" s="84"/>
      <c r="D930" s="83"/>
      <c r="E930" s="83"/>
    </row>
    <row r="931" spans="1:5" ht="12.75">
      <c r="A931" s="70"/>
      <c r="B931" s="83"/>
      <c r="C931" s="84"/>
      <c r="D931" s="83"/>
      <c r="E931" s="83"/>
    </row>
    <row r="932" spans="1:5" ht="12.75">
      <c r="A932" s="70"/>
      <c r="B932" s="83"/>
      <c r="C932" s="84"/>
      <c r="D932" s="83"/>
      <c r="E932" s="83"/>
    </row>
    <row r="933" spans="1:5" ht="12.75">
      <c r="A933" s="70"/>
      <c r="B933" s="83"/>
      <c r="C933" s="84"/>
      <c r="D933" s="83"/>
      <c r="E933" s="83"/>
    </row>
    <row r="934" spans="1:5" ht="12.75">
      <c r="A934" s="70"/>
      <c r="B934" s="83"/>
      <c r="C934" s="84"/>
      <c r="D934" s="83"/>
      <c r="E934" s="83"/>
    </row>
    <row r="935" spans="1:5" ht="12.75">
      <c r="A935" s="70"/>
      <c r="B935" s="83"/>
      <c r="C935" s="84"/>
      <c r="D935" s="83"/>
      <c r="E935" s="83"/>
    </row>
    <row r="936" spans="1:5" ht="12.75">
      <c r="A936" s="70"/>
      <c r="B936" s="83"/>
      <c r="C936" s="84"/>
      <c r="D936" s="83"/>
      <c r="E936" s="83"/>
    </row>
    <row r="937" spans="1:5" ht="12.75">
      <c r="A937" s="70"/>
      <c r="B937" s="83"/>
      <c r="C937" s="84"/>
      <c r="D937" s="83"/>
      <c r="E937" s="83"/>
    </row>
    <row r="938" spans="1:5" ht="12.75">
      <c r="A938" s="70"/>
      <c r="B938" s="83"/>
      <c r="C938" s="84"/>
      <c r="D938" s="83"/>
      <c r="E938" s="83"/>
    </row>
    <row r="939" spans="1:5" ht="12.75">
      <c r="A939" s="70"/>
      <c r="B939" s="83"/>
      <c r="C939" s="84"/>
      <c r="D939" s="83"/>
      <c r="E939" s="83"/>
    </row>
    <row r="940" spans="1:5" ht="12.75">
      <c r="A940" s="70"/>
      <c r="B940" s="83"/>
      <c r="C940" s="84"/>
      <c r="D940" s="83"/>
      <c r="E940" s="83"/>
    </row>
    <row r="941" spans="1:5" ht="12.75">
      <c r="A941" s="70"/>
      <c r="B941" s="83"/>
      <c r="C941" s="84"/>
      <c r="D941" s="83"/>
      <c r="E941" s="83"/>
    </row>
    <row r="942" spans="1:5" ht="12.75">
      <c r="A942" s="70"/>
      <c r="B942" s="83"/>
      <c r="C942" s="84"/>
      <c r="D942" s="83"/>
      <c r="E942" s="83"/>
    </row>
    <row r="943" spans="1:5" ht="12.75">
      <c r="A943" s="70"/>
      <c r="B943" s="83"/>
      <c r="C943" s="84"/>
      <c r="D943" s="83"/>
      <c r="E943" s="83"/>
    </row>
    <row r="944" spans="1:5" ht="12.75">
      <c r="A944" s="70"/>
      <c r="B944" s="83"/>
      <c r="C944" s="84"/>
      <c r="D944" s="83"/>
      <c r="E944" s="83"/>
    </row>
    <row r="945" spans="1:5" ht="12.75">
      <c r="A945" s="70"/>
      <c r="B945" s="83"/>
      <c r="C945" s="84"/>
      <c r="D945" s="83"/>
      <c r="E945" s="83"/>
    </row>
    <row r="946" spans="1:5" ht="12.75">
      <c r="A946" s="70"/>
      <c r="B946" s="83"/>
      <c r="C946" s="84"/>
      <c r="D946" s="83"/>
      <c r="E946" s="83"/>
    </row>
    <row r="947" spans="1:5" ht="12.75">
      <c r="A947" s="70"/>
      <c r="B947" s="83"/>
      <c r="C947" s="84"/>
      <c r="D947" s="83"/>
      <c r="E947" s="83"/>
    </row>
    <row r="948" spans="1:5" ht="12.75">
      <c r="A948" s="70"/>
      <c r="B948" s="83"/>
      <c r="C948" s="84"/>
      <c r="D948" s="83"/>
      <c r="E948" s="83"/>
    </row>
    <row r="949" spans="1:5" ht="12.75">
      <c r="A949" s="70"/>
      <c r="B949" s="83"/>
      <c r="C949" s="84"/>
      <c r="D949" s="83"/>
      <c r="E949" s="83"/>
    </row>
    <row r="950" spans="1:5" ht="12.75">
      <c r="A950" s="70"/>
      <c r="B950" s="83"/>
      <c r="C950" s="84"/>
      <c r="D950" s="83"/>
      <c r="E950" s="83"/>
    </row>
    <row r="951" spans="1:5" ht="12.75">
      <c r="A951" s="70"/>
      <c r="B951" s="83"/>
      <c r="C951" s="84"/>
      <c r="D951" s="83"/>
      <c r="E951" s="83"/>
    </row>
    <row r="952" spans="1:5" ht="12.75">
      <c r="A952" s="70"/>
      <c r="B952" s="83"/>
      <c r="C952" s="84"/>
      <c r="D952" s="83"/>
      <c r="E952" s="83"/>
    </row>
    <row r="953" spans="1:5" ht="12.75">
      <c r="A953" s="70"/>
      <c r="B953" s="83"/>
      <c r="C953" s="84"/>
      <c r="D953" s="83"/>
      <c r="E953" s="83"/>
    </row>
    <row r="954" spans="1:5" ht="12.75">
      <c r="A954" s="70"/>
      <c r="B954" s="83"/>
      <c r="C954" s="84"/>
      <c r="D954" s="83"/>
      <c r="E954" s="83"/>
    </row>
    <row r="955" spans="1:5" ht="12.75">
      <c r="A955" s="70"/>
      <c r="B955" s="83"/>
      <c r="C955" s="84"/>
      <c r="D955" s="83"/>
      <c r="E955" s="83"/>
    </row>
    <row r="956" spans="1:5" ht="12.75">
      <c r="A956" s="70"/>
      <c r="B956" s="83"/>
      <c r="C956" s="84"/>
      <c r="D956" s="83"/>
      <c r="E956" s="83"/>
    </row>
    <row r="957" spans="1:5" ht="12.75">
      <c r="A957" s="70"/>
      <c r="B957" s="83"/>
      <c r="C957" s="84"/>
      <c r="D957" s="83"/>
      <c r="E957" s="83"/>
    </row>
    <row r="958" spans="1:5" ht="12.75">
      <c r="A958" s="70"/>
      <c r="B958" s="83"/>
      <c r="C958" s="84"/>
      <c r="D958" s="83"/>
      <c r="E958" s="83"/>
    </row>
    <row r="959" spans="1:5" ht="12.75">
      <c r="A959" s="70"/>
      <c r="B959" s="83"/>
      <c r="C959" s="84"/>
      <c r="D959" s="83"/>
      <c r="E959" s="83"/>
    </row>
    <row r="960" spans="1:5" ht="12.75">
      <c r="A960" s="70"/>
      <c r="B960" s="83"/>
      <c r="C960" s="84"/>
      <c r="D960" s="83"/>
      <c r="E960" s="83"/>
    </row>
    <row r="961" spans="1:5" ht="12.75">
      <c r="A961" s="70"/>
      <c r="B961" s="83"/>
      <c r="C961" s="84"/>
      <c r="D961" s="83"/>
      <c r="E961" s="83"/>
    </row>
    <row r="962" spans="1:5" ht="12.75">
      <c r="A962" s="70"/>
      <c r="B962" s="83"/>
      <c r="C962" s="84"/>
      <c r="D962" s="83"/>
      <c r="E962" s="83"/>
    </row>
    <row r="963" spans="1:5" ht="12.75">
      <c r="A963" s="70"/>
      <c r="B963" s="83"/>
      <c r="C963" s="84"/>
      <c r="D963" s="83"/>
      <c r="E963" s="83"/>
    </row>
    <row r="964" spans="1:5" ht="12.75">
      <c r="A964" s="70"/>
      <c r="B964" s="83"/>
      <c r="C964" s="84"/>
      <c r="D964" s="83"/>
      <c r="E964" s="83"/>
    </row>
    <row r="965" spans="1:5" ht="12.75">
      <c r="A965" s="70"/>
      <c r="B965" s="83"/>
      <c r="C965" s="84"/>
      <c r="D965" s="83"/>
      <c r="E965" s="83"/>
    </row>
    <row r="966" spans="1:5" ht="12.75">
      <c r="A966" s="70"/>
      <c r="B966" s="83"/>
      <c r="C966" s="84"/>
      <c r="D966" s="83"/>
      <c r="E966" s="83"/>
    </row>
    <row r="967" spans="1:5" ht="12.75">
      <c r="A967" s="70"/>
      <c r="B967" s="83"/>
      <c r="C967" s="84"/>
      <c r="D967" s="83"/>
      <c r="E967" s="83"/>
    </row>
    <row r="968" spans="1:5" ht="12.75">
      <c r="A968" s="70"/>
      <c r="B968" s="83"/>
      <c r="C968" s="84"/>
      <c r="D968" s="83"/>
      <c r="E968" s="83"/>
    </row>
    <row r="969" spans="1:5" ht="12.75">
      <c r="A969" s="70"/>
      <c r="B969" s="83"/>
      <c r="C969" s="84"/>
      <c r="D969" s="83"/>
      <c r="E969" s="83"/>
    </row>
    <row r="970" spans="1:5" ht="12.75">
      <c r="A970" s="70"/>
      <c r="B970" s="83"/>
      <c r="C970" s="84"/>
      <c r="D970" s="83"/>
      <c r="E970" s="83"/>
    </row>
    <row r="971" spans="1:5" ht="12.75">
      <c r="A971" s="70"/>
      <c r="B971" s="83"/>
      <c r="C971" s="84"/>
      <c r="D971" s="83"/>
      <c r="E971" s="83"/>
    </row>
    <row r="972" spans="1:5" ht="12.75">
      <c r="A972" s="70"/>
      <c r="B972" s="83"/>
      <c r="C972" s="84"/>
      <c r="D972" s="83"/>
      <c r="E972" s="83"/>
    </row>
    <row r="973" spans="1:5" ht="12.75">
      <c r="A973" s="70"/>
      <c r="B973" s="83"/>
      <c r="C973" s="84"/>
      <c r="D973" s="83"/>
      <c r="E973" s="83"/>
    </row>
    <row r="974" spans="1:5" ht="12.75">
      <c r="A974" s="70"/>
      <c r="B974" s="83"/>
      <c r="C974" s="84"/>
      <c r="D974" s="83"/>
      <c r="E974" s="83"/>
    </row>
    <row r="975" spans="1:5" ht="12.75">
      <c r="A975" s="70"/>
      <c r="B975" s="83"/>
      <c r="C975" s="84"/>
      <c r="D975" s="83"/>
      <c r="E975" s="83"/>
    </row>
    <row r="976" spans="1:5" ht="12.75">
      <c r="A976" s="70"/>
      <c r="B976" s="83"/>
      <c r="C976" s="84"/>
      <c r="D976" s="83"/>
      <c r="E976" s="83"/>
    </row>
    <row r="977" spans="1:5" ht="12.75">
      <c r="A977" s="70"/>
      <c r="B977" s="83"/>
      <c r="C977" s="84"/>
      <c r="D977" s="83"/>
      <c r="E977" s="83"/>
    </row>
    <row r="978" spans="1:5" ht="12.75">
      <c r="A978" s="70"/>
      <c r="B978" s="83"/>
      <c r="C978" s="84"/>
      <c r="D978" s="83"/>
      <c r="E978" s="83"/>
    </row>
    <row r="979" spans="1:5" ht="12.75">
      <c r="A979" s="70"/>
      <c r="B979" s="83"/>
      <c r="C979" s="84"/>
      <c r="D979" s="83"/>
      <c r="E979" s="83"/>
    </row>
    <row r="980" spans="1:5" ht="12.75">
      <c r="A980" s="70"/>
      <c r="B980" s="83"/>
      <c r="C980" s="84"/>
      <c r="D980" s="83"/>
      <c r="E980" s="83"/>
    </row>
    <row r="981" spans="1:5" ht="12.75">
      <c r="A981" s="70"/>
      <c r="B981" s="83"/>
      <c r="C981" s="84"/>
      <c r="D981" s="83"/>
      <c r="E981" s="83"/>
    </row>
    <row r="982" spans="1:5" ht="12.75">
      <c r="A982" s="70"/>
      <c r="B982" s="83"/>
      <c r="C982" s="84"/>
      <c r="D982" s="83"/>
      <c r="E982" s="83"/>
    </row>
    <row r="983" spans="1:5" ht="12.75">
      <c r="A983" s="70"/>
      <c r="B983" s="83"/>
      <c r="C983" s="84"/>
      <c r="D983" s="83"/>
      <c r="E983" s="83"/>
    </row>
    <row r="984" spans="1:5" ht="12.75">
      <c r="A984" s="70"/>
      <c r="B984" s="83"/>
      <c r="C984" s="84"/>
      <c r="D984" s="83"/>
      <c r="E984" s="83"/>
    </row>
    <row r="985" spans="1:5" ht="12.75">
      <c r="A985" s="70"/>
      <c r="B985" s="83"/>
      <c r="C985" s="84"/>
      <c r="D985" s="83"/>
      <c r="E985" s="83"/>
    </row>
    <row r="986" spans="1:5" ht="12.75">
      <c r="A986" s="70"/>
      <c r="B986" s="83"/>
      <c r="C986" s="84"/>
      <c r="D986" s="83"/>
      <c r="E986" s="83"/>
    </row>
    <row r="987" spans="1:5" ht="12.75">
      <c r="A987" s="70"/>
      <c r="B987" s="83"/>
      <c r="C987" s="84"/>
      <c r="D987" s="83"/>
      <c r="E987" s="83"/>
    </row>
    <row r="988" spans="1:5" ht="12.75">
      <c r="A988" s="70"/>
      <c r="B988" s="83"/>
      <c r="C988" s="84"/>
      <c r="D988" s="83"/>
      <c r="E988" s="83"/>
    </row>
    <row r="989" spans="1:5" ht="12.75">
      <c r="A989" s="70"/>
      <c r="B989" s="83"/>
      <c r="C989" s="84"/>
      <c r="D989" s="83"/>
      <c r="E989" s="83"/>
    </row>
    <row r="990" spans="1:5" ht="12.75">
      <c r="A990" s="70"/>
      <c r="B990" s="83"/>
      <c r="C990" s="84"/>
      <c r="D990" s="83"/>
      <c r="E990" s="83"/>
    </row>
    <row r="991" spans="1:5" ht="12.75">
      <c r="A991" s="70"/>
      <c r="B991" s="83"/>
      <c r="C991" s="84"/>
      <c r="D991" s="83"/>
      <c r="E991" s="83"/>
    </row>
    <row r="992" spans="1:5" ht="12.75">
      <c r="A992" s="70"/>
      <c r="B992" s="83"/>
      <c r="C992" s="84"/>
      <c r="D992" s="83"/>
      <c r="E992" s="83"/>
    </row>
    <row r="993" spans="1:5" ht="12.75">
      <c r="A993" s="70"/>
      <c r="B993" s="83"/>
      <c r="C993" s="84"/>
      <c r="D993" s="83"/>
      <c r="E993" s="83"/>
    </row>
    <row r="994" spans="1:5" ht="12.75">
      <c r="A994" s="70"/>
      <c r="B994" s="83"/>
      <c r="C994" s="84"/>
      <c r="D994" s="83"/>
      <c r="E994" s="83"/>
    </row>
    <row r="995" spans="1:5" ht="12.75">
      <c r="A995" s="70"/>
      <c r="B995" s="83"/>
      <c r="C995" s="84"/>
      <c r="D995" s="83"/>
      <c r="E995" s="83"/>
    </row>
    <row r="996" spans="1:5" ht="12.75">
      <c r="A996" s="70"/>
      <c r="B996" s="83"/>
      <c r="C996" s="84"/>
      <c r="D996" s="83"/>
      <c r="E996" s="83"/>
    </row>
    <row r="997" spans="1:5" ht="12.75">
      <c r="A997" s="70"/>
      <c r="B997" s="83"/>
      <c r="C997" s="84"/>
      <c r="D997" s="83"/>
      <c r="E997" s="83"/>
    </row>
    <row r="998" spans="1:5" ht="12.75">
      <c r="A998" s="70"/>
      <c r="B998" s="83"/>
      <c r="C998" s="84"/>
      <c r="D998" s="83"/>
      <c r="E998" s="83"/>
    </row>
    <row r="999" spans="1:5" ht="12.75">
      <c r="A999" s="70"/>
      <c r="B999" s="83"/>
      <c r="C999" s="84"/>
      <c r="D999" s="83"/>
      <c r="E999" s="83"/>
    </row>
    <row r="1000" spans="1:5" ht="12.75">
      <c r="A1000" s="70"/>
      <c r="B1000" s="83"/>
      <c r="C1000" s="84"/>
      <c r="D1000" s="83"/>
      <c r="E1000" s="83"/>
    </row>
    <row r="1001" spans="1:5" ht="12.75">
      <c r="A1001" s="70"/>
      <c r="B1001" s="83"/>
      <c r="C1001" s="84"/>
      <c r="D1001" s="83"/>
      <c r="E1001" s="83"/>
    </row>
    <row r="1002" spans="1:5" ht="12.75">
      <c r="A1002" s="70"/>
      <c r="B1002" s="83"/>
      <c r="C1002" s="84"/>
      <c r="D1002" s="83"/>
      <c r="E1002" s="83"/>
    </row>
    <row r="1003" spans="1:5" ht="12.75">
      <c r="A1003" s="70"/>
      <c r="B1003" s="83"/>
      <c r="C1003" s="84"/>
      <c r="D1003" s="83"/>
      <c r="E1003" s="83"/>
    </row>
    <row r="1004" spans="1:5" ht="12.75">
      <c r="A1004" s="70"/>
      <c r="B1004" s="83"/>
      <c r="C1004" s="84"/>
      <c r="D1004" s="83"/>
      <c r="E1004" s="83"/>
    </row>
    <row r="1005" spans="1:5" ht="12.75">
      <c r="A1005" s="70"/>
      <c r="B1005" s="83"/>
      <c r="C1005" s="84"/>
      <c r="D1005" s="83"/>
      <c r="E1005" s="83"/>
    </row>
    <row r="1006" spans="1:5" ht="12.75">
      <c r="A1006" s="70"/>
      <c r="B1006" s="83"/>
      <c r="C1006" s="84"/>
      <c r="D1006" s="83"/>
      <c r="E1006" s="83"/>
    </row>
    <row r="1007" spans="1:5" ht="12.75">
      <c r="A1007" s="70"/>
      <c r="B1007" s="83"/>
      <c r="C1007" s="84"/>
      <c r="D1007" s="83"/>
      <c r="E1007" s="83"/>
    </row>
    <row r="1008" spans="1:5" ht="12.75">
      <c r="A1008" s="70"/>
      <c r="B1008" s="83"/>
      <c r="C1008" s="84"/>
      <c r="D1008" s="83"/>
      <c r="E1008" s="83"/>
    </row>
    <row r="1009" spans="1:5" ht="12.75">
      <c r="A1009" s="70"/>
      <c r="B1009" s="83"/>
      <c r="C1009" s="84"/>
      <c r="D1009" s="83"/>
      <c r="E1009" s="83"/>
    </row>
    <row r="1010" spans="1:5" ht="12.75">
      <c r="A1010" s="70"/>
      <c r="B1010" s="83"/>
      <c r="C1010" s="84"/>
      <c r="D1010" s="83"/>
      <c r="E1010" s="83"/>
    </row>
    <row r="1011" spans="1:5" ht="12.75">
      <c r="A1011" s="70"/>
      <c r="B1011" s="83"/>
      <c r="C1011" s="84"/>
      <c r="D1011" s="83"/>
      <c r="E1011" s="83"/>
    </row>
    <row r="1012" spans="1:5" ht="12.75">
      <c r="A1012" s="70"/>
      <c r="B1012" s="83"/>
      <c r="C1012" s="84"/>
      <c r="D1012" s="83"/>
      <c r="E1012" s="83"/>
    </row>
    <row r="1013" spans="1:5" ht="12.75">
      <c r="A1013" s="70"/>
      <c r="B1013" s="83"/>
      <c r="C1013" s="84"/>
      <c r="D1013" s="83"/>
      <c r="E1013" s="83"/>
    </row>
    <row r="1014" spans="1:5" ht="12.75">
      <c r="A1014" s="70"/>
      <c r="B1014" s="83"/>
      <c r="C1014" s="84"/>
      <c r="D1014" s="83"/>
      <c r="E1014" s="83"/>
    </row>
    <row r="1015" spans="1:5" ht="12.75">
      <c r="A1015" s="70"/>
      <c r="B1015" s="83"/>
      <c r="C1015" s="84"/>
      <c r="D1015" s="83"/>
      <c r="E1015" s="83"/>
    </row>
    <row r="1016" spans="1:5" ht="12.75">
      <c r="A1016" s="70"/>
      <c r="B1016" s="83"/>
      <c r="C1016" s="84"/>
      <c r="D1016" s="83"/>
      <c r="E1016" s="83"/>
    </row>
    <row r="1017" spans="1:5" ht="12.75">
      <c r="A1017" s="70"/>
      <c r="B1017" s="83"/>
      <c r="C1017" s="84"/>
      <c r="D1017" s="83"/>
      <c r="E1017" s="83"/>
    </row>
    <row r="1018" spans="1:5" ht="12.75">
      <c r="A1018" s="70"/>
      <c r="B1018" s="83"/>
      <c r="C1018" s="84"/>
      <c r="D1018" s="83"/>
      <c r="E1018" s="83"/>
    </row>
    <row r="1019" spans="1:5" ht="12.75">
      <c r="A1019" s="70"/>
      <c r="B1019" s="83"/>
      <c r="C1019" s="84"/>
      <c r="D1019" s="83"/>
      <c r="E1019" s="83"/>
    </row>
    <row r="1020" spans="1:5" ht="12.75">
      <c r="A1020" s="70"/>
      <c r="B1020" s="83"/>
      <c r="C1020" s="84"/>
      <c r="D1020" s="83"/>
      <c r="E1020" s="83"/>
    </row>
    <row r="1021" spans="1:5" ht="12.75">
      <c r="A1021" s="70"/>
      <c r="B1021" s="83"/>
      <c r="C1021" s="84"/>
      <c r="D1021" s="83"/>
      <c r="E1021" s="83"/>
    </row>
    <row r="1022" spans="1:5" ht="12.75">
      <c r="A1022" s="70"/>
      <c r="B1022" s="83"/>
      <c r="C1022" s="84"/>
      <c r="D1022" s="83"/>
      <c r="E1022" s="83"/>
    </row>
    <row r="1023" spans="1:5" ht="12.75">
      <c r="A1023" s="70"/>
      <c r="B1023" s="83"/>
      <c r="C1023" s="84"/>
      <c r="D1023" s="83"/>
      <c r="E1023" s="83"/>
    </row>
    <row r="1024" spans="1:5" ht="12.75">
      <c r="A1024" s="70"/>
      <c r="B1024" s="83"/>
      <c r="C1024" s="84"/>
      <c r="D1024" s="83"/>
      <c r="E1024" s="83"/>
    </row>
    <row r="1025" spans="1:5" ht="12.75">
      <c r="A1025" s="70"/>
      <c r="B1025" s="83"/>
      <c r="C1025" s="84"/>
      <c r="D1025" s="83"/>
      <c r="E1025" s="83"/>
    </row>
    <row r="1026" spans="1:5" ht="12.75">
      <c r="A1026" s="70"/>
      <c r="B1026" s="83"/>
      <c r="C1026" s="84"/>
      <c r="D1026" s="83"/>
      <c r="E1026" s="83"/>
    </row>
    <row r="1027" spans="1:5" ht="12.75">
      <c r="A1027" s="70"/>
      <c r="B1027" s="83"/>
      <c r="C1027" s="84"/>
      <c r="D1027" s="83"/>
      <c r="E1027" s="83"/>
    </row>
    <row r="1028" spans="1:5" ht="12.75">
      <c r="A1028" s="70"/>
      <c r="B1028" s="83"/>
      <c r="C1028" s="84"/>
      <c r="D1028" s="83"/>
      <c r="E1028" s="83"/>
    </row>
    <row r="1029" spans="1:5" ht="12.75">
      <c r="A1029" s="70"/>
      <c r="B1029" s="83"/>
      <c r="C1029" s="84"/>
      <c r="D1029" s="83"/>
      <c r="E1029" s="83"/>
    </row>
    <row r="1030" spans="1:5" ht="12.75">
      <c r="A1030" s="70"/>
      <c r="B1030" s="83"/>
      <c r="C1030" s="84"/>
      <c r="D1030" s="83"/>
      <c r="E1030" s="83"/>
    </row>
    <row r="1031" spans="1:5" ht="12.75">
      <c r="A1031" s="70"/>
      <c r="B1031" s="83"/>
      <c r="C1031" s="84"/>
      <c r="D1031" s="83"/>
      <c r="E1031" s="83"/>
    </row>
    <row r="1032" spans="1:5" ht="12.75">
      <c r="A1032" s="70"/>
      <c r="B1032" s="83"/>
      <c r="C1032" s="84"/>
      <c r="D1032" s="83"/>
      <c r="E1032" s="83"/>
    </row>
    <row r="1033" spans="1:5" ht="12.75">
      <c r="A1033" s="70"/>
      <c r="B1033" s="83"/>
      <c r="C1033" s="84"/>
      <c r="D1033" s="83"/>
      <c r="E1033" s="83"/>
    </row>
    <row r="1034" spans="1:5" ht="12.75">
      <c r="A1034" s="70"/>
      <c r="B1034" s="83"/>
      <c r="C1034" s="84"/>
      <c r="D1034" s="83"/>
      <c r="E1034" s="83"/>
    </row>
    <row r="1035" spans="1:5" ht="12.75">
      <c r="A1035" s="70"/>
      <c r="B1035" s="83"/>
      <c r="C1035" s="84"/>
      <c r="D1035" s="83"/>
      <c r="E1035" s="83"/>
    </row>
    <row r="1036" spans="1:5" ht="12.75">
      <c r="A1036" s="70"/>
      <c r="B1036" s="83"/>
      <c r="C1036" s="84"/>
      <c r="D1036" s="83"/>
      <c r="E1036" s="83"/>
    </row>
    <row r="1037" spans="1:5" ht="12.75">
      <c r="A1037" s="70"/>
      <c r="B1037" s="83"/>
      <c r="C1037" s="84"/>
      <c r="D1037" s="83"/>
      <c r="E1037" s="83"/>
    </row>
    <row r="1038" spans="1:5" ht="12.75">
      <c r="A1038" s="70"/>
      <c r="B1038" s="83"/>
      <c r="C1038" s="84"/>
      <c r="D1038" s="83"/>
      <c r="E1038" s="83"/>
    </row>
    <row r="1039" spans="1:5" ht="12.75">
      <c r="A1039" s="70"/>
      <c r="B1039" s="83"/>
      <c r="C1039" s="84"/>
      <c r="D1039" s="83"/>
      <c r="E1039" s="83"/>
    </row>
    <row r="1040" spans="1:5" ht="12.75">
      <c r="A1040" s="70"/>
      <c r="B1040" s="83"/>
      <c r="C1040" s="84"/>
      <c r="D1040" s="83"/>
      <c r="E1040" s="83"/>
    </row>
    <row r="1041" spans="1:5" ht="12.75">
      <c r="A1041" s="70"/>
      <c r="B1041" s="83"/>
      <c r="C1041" s="84"/>
      <c r="D1041" s="83"/>
      <c r="E1041" s="83"/>
    </row>
    <row r="1042" spans="1:5" ht="12.75">
      <c r="A1042" s="70"/>
      <c r="B1042" s="83"/>
      <c r="C1042" s="84"/>
      <c r="D1042" s="83"/>
      <c r="E1042" s="83"/>
    </row>
    <row r="1043" spans="1:5" ht="12.75">
      <c r="A1043" s="70"/>
      <c r="B1043" s="83"/>
      <c r="C1043" s="84"/>
      <c r="D1043" s="83"/>
      <c r="E1043" s="83"/>
    </row>
    <row r="1044" spans="1:5" ht="12.75">
      <c r="A1044" s="70"/>
      <c r="B1044" s="83"/>
      <c r="C1044" s="84"/>
      <c r="D1044" s="83"/>
      <c r="E1044" s="83"/>
    </row>
    <row r="1045" spans="1:5" ht="12.75">
      <c r="A1045" s="70"/>
      <c r="B1045" s="83"/>
      <c r="C1045" s="84"/>
      <c r="D1045" s="83"/>
      <c r="E1045" s="83"/>
    </row>
    <row r="1046" spans="1:5" ht="12.75">
      <c r="A1046" s="70"/>
      <c r="B1046" s="83"/>
      <c r="C1046" s="84"/>
      <c r="D1046" s="83"/>
      <c r="E1046" s="83"/>
    </row>
    <row r="1047" spans="1:5" ht="12.75">
      <c r="A1047" s="70"/>
      <c r="B1047" s="83"/>
      <c r="C1047" s="84"/>
      <c r="D1047" s="83"/>
      <c r="E1047" s="83"/>
    </row>
    <row r="1048" spans="1:5" ht="12.75">
      <c r="A1048" s="70"/>
      <c r="B1048" s="83"/>
      <c r="C1048" s="84"/>
      <c r="D1048" s="83"/>
      <c r="E1048" s="83"/>
    </row>
    <row r="1049" spans="1:5" ht="12.75">
      <c r="A1049" s="70"/>
      <c r="B1049" s="83"/>
      <c r="C1049" s="84"/>
      <c r="D1049" s="83"/>
      <c r="E1049" s="83"/>
    </row>
    <row r="1050" spans="1:5" ht="12.75">
      <c r="A1050" s="70"/>
      <c r="B1050" s="83"/>
      <c r="C1050" s="84"/>
      <c r="D1050" s="83"/>
      <c r="E1050" s="83"/>
    </row>
    <row r="1051" spans="1:5" ht="12.75">
      <c r="A1051" s="70"/>
      <c r="B1051" s="83"/>
      <c r="C1051" s="84"/>
      <c r="D1051" s="83"/>
      <c r="E1051" s="83"/>
    </row>
    <row r="1052" spans="1:5" ht="12.75">
      <c r="A1052" s="70"/>
      <c r="B1052" s="83"/>
      <c r="C1052" s="84"/>
      <c r="D1052" s="83"/>
      <c r="E1052" s="83"/>
    </row>
    <row r="1053" spans="1:5" ht="12.75">
      <c r="A1053" s="70"/>
      <c r="B1053" s="83"/>
      <c r="C1053" s="84"/>
      <c r="D1053" s="83"/>
      <c r="E1053" s="83"/>
    </row>
    <row r="1054" spans="1:5" ht="12.75">
      <c r="A1054" s="70"/>
      <c r="B1054" s="83"/>
      <c r="C1054" s="84"/>
      <c r="D1054" s="83"/>
      <c r="E1054" s="83"/>
    </row>
    <row r="1055" spans="1:5" ht="12.75">
      <c r="A1055" s="70"/>
      <c r="B1055" s="83"/>
      <c r="C1055" s="84"/>
      <c r="D1055" s="83"/>
      <c r="E1055" s="83"/>
    </row>
    <row r="1056" spans="1:5" ht="12.75">
      <c r="A1056" s="70"/>
      <c r="B1056" s="83"/>
      <c r="C1056" s="84"/>
      <c r="D1056" s="83"/>
      <c r="E1056" s="83"/>
    </row>
    <row r="1057" spans="1:5" ht="12.75">
      <c r="A1057" s="70"/>
      <c r="B1057" s="83"/>
      <c r="C1057" s="84"/>
      <c r="D1057" s="83"/>
      <c r="E1057" s="83"/>
    </row>
    <row r="1058" spans="1:5" ht="12.75">
      <c r="A1058" s="70"/>
      <c r="B1058" s="83"/>
      <c r="C1058" s="84"/>
      <c r="D1058" s="83"/>
      <c r="E1058" s="83"/>
    </row>
    <row r="1059" spans="1:5" ht="12.75">
      <c r="A1059" s="70"/>
      <c r="B1059" s="83"/>
      <c r="C1059" s="84"/>
      <c r="D1059" s="83"/>
      <c r="E1059" s="83"/>
    </row>
    <row r="1060" spans="1:5" ht="12.75">
      <c r="A1060" s="70"/>
      <c r="B1060" s="83"/>
      <c r="C1060" s="84"/>
      <c r="D1060" s="83"/>
      <c r="E1060" s="83"/>
    </row>
    <row r="1061" spans="1:5" ht="12.75">
      <c r="A1061" s="70"/>
      <c r="B1061" s="83"/>
      <c r="C1061" s="84"/>
      <c r="D1061" s="83"/>
      <c r="E1061" s="83"/>
    </row>
    <row r="1062" spans="1:5" ht="12.75">
      <c r="A1062" s="70"/>
      <c r="B1062" s="83"/>
      <c r="C1062" s="84"/>
      <c r="D1062" s="83"/>
      <c r="E1062" s="83"/>
    </row>
    <row r="1063" spans="1:5" ht="12.75">
      <c r="A1063" s="70"/>
      <c r="B1063" s="83"/>
      <c r="C1063" s="84"/>
      <c r="D1063" s="83"/>
      <c r="E1063" s="83"/>
    </row>
    <row r="1064" spans="1:5" ht="12.75">
      <c r="A1064" s="70"/>
      <c r="B1064" s="83"/>
      <c r="C1064" s="84"/>
      <c r="D1064" s="83"/>
      <c r="E1064" s="83"/>
    </row>
    <row r="1065" spans="1:5" ht="12.75">
      <c r="A1065" s="70"/>
      <c r="B1065" s="83"/>
      <c r="C1065" s="84"/>
      <c r="D1065" s="83"/>
      <c r="E1065" s="83"/>
    </row>
    <row r="1066" spans="1:5" ht="12.75">
      <c r="A1066" s="70"/>
      <c r="B1066" s="83"/>
      <c r="C1066" s="84"/>
      <c r="D1066" s="83"/>
      <c r="E1066" s="83"/>
    </row>
    <row r="1067" spans="1:5" ht="12.75">
      <c r="A1067" s="70"/>
      <c r="B1067" s="83"/>
      <c r="C1067" s="84"/>
      <c r="D1067" s="83"/>
      <c r="E1067" s="83"/>
    </row>
    <row r="1068" spans="1:5" ht="12.75">
      <c r="A1068" s="70"/>
      <c r="B1068" s="83"/>
      <c r="C1068" s="84"/>
      <c r="D1068" s="83"/>
      <c r="E1068" s="83"/>
    </row>
    <row r="1069" spans="1:5" ht="12.75">
      <c r="A1069" s="70"/>
      <c r="B1069" s="83"/>
      <c r="C1069" s="84"/>
      <c r="D1069" s="83"/>
      <c r="E1069" s="83"/>
    </row>
    <row r="1070" spans="1:5" ht="12.75">
      <c r="A1070" s="70"/>
      <c r="B1070" s="83"/>
      <c r="C1070" s="84"/>
      <c r="D1070" s="83"/>
      <c r="E1070" s="83"/>
    </row>
    <row r="1071" spans="1:5" ht="12.75">
      <c r="A1071" s="70"/>
      <c r="B1071" s="83"/>
      <c r="C1071" s="84"/>
      <c r="D1071" s="83"/>
      <c r="E1071" s="83"/>
    </row>
    <row r="1072" spans="1:5" ht="12.75">
      <c r="A1072" s="70"/>
      <c r="B1072" s="83"/>
      <c r="C1072" s="84"/>
      <c r="D1072" s="83"/>
      <c r="E1072" s="83"/>
    </row>
    <row r="1073" spans="1:5" ht="12.75">
      <c r="A1073" s="70"/>
      <c r="B1073" s="83"/>
      <c r="C1073" s="84"/>
      <c r="D1073" s="83"/>
      <c r="E1073" s="83"/>
    </row>
    <row r="1074" spans="1:5" ht="12.75">
      <c r="A1074" s="70"/>
      <c r="B1074" s="83"/>
      <c r="C1074" s="84"/>
      <c r="D1074" s="83"/>
      <c r="E1074" s="83"/>
    </row>
    <row r="1075" spans="1:5" ht="12.75">
      <c r="A1075" s="70"/>
      <c r="B1075" s="83"/>
      <c r="C1075" s="84"/>
      <c r="D1075" s="83"/>
      <c r="E1075" s="83"/>
    </row>
    <row r="1076" spans="1:5" ht="12.75">
      <c r="A1076" s="70"/>
      <c r="B1076" s="83"/>
      <c r="C1076" s="84"/>
      <c r="D1076" s="83"/>
      <c r="E1076" s="83"/>
    </row>
    <row r="1077" spans="1:5" ht="12.75">
      <c r="A1077" s="70"/>
      <c r="B1077" s="83"/>
      <c r="C1077" s="84"/>
      <c r="D1077" s="83"/>
      <c r="E1077" s="83"/>
    </row>
    <row r="1078" spans="1:5" ht="12.75">
      <c r="A1078" s="70"/>
      <c r="B1078" s="83"/>
      <c r="C1078" s="84"/>
      <c r="D1078" s="83"/>
      <c r="E1078" s="83"/>
    </row>
    <row r="1079" spans="1:5" ht="12.75">
      <c r="A1079" s="70"/>
      <c r="B1079" s="83"/>
      <c r="C1079" s="84"/>
      <c r="D1079" s="83"/>
      <c r="E1079" s="83"/>
    </row>
    <row r="1080" spans="1:5" ht="12.75">
      <c r="A1080" s="70"/>
      <c r="B1080" s="83"/>
      <c r="C1080" s="84"/>
      <c r="D1080" s="83"/>
      <c r="E1080" s="83"/>
    </row>
    <row r="1081" spans="1:5" ht="12.75">
      <c r="A1081" s="70"/>
      <c r="B1081" s="83"/>
      <c r="C1081" s="84"/>
      <c r="D1081" s="83"/>
      <c r="E1081" s="83"/>
    </row>
    <row r="1082" spans="1:5" ht="12.75">
      <c r="A1082" s="70"/>
      <c r="B1082" s="83"/>
      <c r="C1082" s="84"/>
      <c r="D1082" s="83"/>
      <c r="E1082" s="83"/>
    </row>
    <row r="1083" spans="1:5" ht="12.75">
      <c r="A1083" s="70"/>
      <c r="B1083" s="83"/>
      <c r="C1083" s="84"/>
      <c r="D1083" s="83"/>
      <c r="E1083" s="83"/>
    </row>
    <row r="1084" spans="1:5" ht="12.75">
      <c r="A1084" s="70"/>
      <c r="B1084" s="83"/>
      <c r="C1084" s="84"/>
      <c r="D1084" s="83"/>
      <c r="E1084" s="83"/>
    </row>
    <row r="1085" spans="1:5" ht="12.75">
      <c r="A1085" s="70"/>
      <c r="B1085" s="83"/>
      <c r="C1085" s="84"/>
      <c r="D1085" s="83"/>
      <c r="E1085" s="83"/>
    </row>
    <row r="1086" spans="1:5" ht="12.75">
      <c r="A1086" s="70"/>
      <c r="B1086" s="83"/>
      <c r="C1086" s="84"/>
      <c r="D1086" s="83"/>
      <c r="E1086" s="83"/>
    </row>
    <row r="1087" spans="1:5" ht="12.75">
      <c r="A1087" s="70"/>
      <c r="B1087" s="83"/>
      <c r="C1087" s="84"/>
      <c r="D1087" s="83"/>
      <c r="E1087" s="83"/>
    </row>
    <row r="1088" spans="1:5" ht="12.75">
      <c r="A1088" s="70"/>
      <c r="B1088" s="83"/>
      <c r="C1088" s="84"/>
      <c r="D1088" s="83"/>
      <c r="E1088" s="83"/>
    </row>
    <row r="1089" spans="1:5" ht="12.75">
      <c r="A1089" s="70"/>
      <c r="B1089" s="83"/>
      <c r="C1089" s="84"/>
      <c r="D1089" s="83"/>
      <c r="E1089" s="83"/>
    </row>
    <row r="1090" spans="1:5" ht="12.75">
      <c r="A1090" s="70"/>
      <c r="B1090" s="83"/>
      <c r="C1090" s="84"/>
      <c r="D1090" s="83"/>
      <c r="E1090" s="83"/>
    </row>
    <row r="1091" spans="1:5" ht="12.75">
      <c r="A1091" s="70"/>
      <c r="B1091" s="83"/>
      <c r="C1091" s="84"/>
      <c r="D1091" s="83"/>
      <c r="E1091" s="83"/>
    </row>
    <row r="1092" spans="1:5" ht="12.75">
      <c r="A1092" s="70"/>
      <c r="B1092" s="83"/>
      <c r="C1092" s="84"/>
      <c r="D1092" s="83"/>
      <c r="E1092" s="83"/>
    </row>
    <row r="1093" spans="1:5" ht="12.75">
      <c r="A1093" s="70"/>
      <c r="B1093" s="83"/>
      <c r="C1093" s="84"/>
      <c r="D1093" s="83"/>
      <c r="E1093" s="83"/>
    </row>
    <row r="1094" spans="1:5" ht="12.75">
      <c r="A1094" s="70"/>
      <c r="B1094" s="83"/>
      <c r="C1094" s="84"/>
      <c r="D1094" s="83"/>
      <c r="E1094" s="83"/>
    </row>
    <row r="1095" spans="1:5" ht="12.75">
      <c r="A1095" s="70"/>
      <c r="B1095" s="83"/>
      <c r="C1095" s="84"/>
      <c r="D1095" s="83"/>
      <c r="E1095" s="83"/>
    </row>
    <row r="1096" spans="1:5" ht="12.75">
      <c r="A1096" s="70"/>
      <c r="B1096" s="83"/>
      <c r="C1096" s="84"/>
      <c r="D1096" s="83"/>
      <c r="E1096" s="83"/>
    </row>
    <row r="1097" spans="1:5" ht="12.75">
      <c r="A1097" s="70"/>
      <c r="B1097" s="83"/>
      <c r="C1097" s="84"/>
      <c r="D1097" s="83"/>
      <c r="E1097" s="83"/>
    </row>
    <row r="1098" spans="1:5" ht="12.75">
      <c r="A1098" s="70"/>
      <c r="B1098" s="83"/>
      <c r="C1098" s="84"/>
      <c r="D1098" s="83"/>
      <c r="E1098" s="83"/>
    </row>
    <row r="1099" spans="1:5" ht="12.75">
      <c r="A1099" s="70"/>
      <c r="B1099" s="83"/>
      <c r="C1099" s="84"/>
      <c r="D1099" s="83"/>
      <c r="E1099" s="83"/>
    </row>
    <row r="1100" spans="1:5" ht="12.75">
      <c r="A1100" s="70"/>
      <c r="B1100" s="83"/>
      <c r="C1100" s="84"/>
      <c r="D1100" s="83"/>
      <c r="E1100" s="83"/>
    </row>
    <row r="1101" spans="1:5" ht="12.75">
      <c r="A1101" s="70"/>
      <c r="B1101" s="83"/>
      <c r="C1101" s="84"/>
      <c r="D1101" s="83"/>
      <c r="E1101" s="83"/>
    </row>
    <row r="1102" spans="1:5" ht="12.75">
      <c r="A1102" s="70"/>
      <c r="B1102" s="83"/>
      <c r="C1102" s="84"/>
      <c r="D1102" s="83"/>
      <c r="E1102" s="83"/>
    </row>
    <row r="1103" spans="1:5" ht="12.75">
      <c r="A1103" s="70"/>
      <c r="B1103" s="83"/>
      <c r="C1103" s="84"/>
      <c r="D1103" s="83"/>
      <c r="E1103" s="83"/>
    </row>
    <row r="1104" spans="1:5" ht="12.75">
      <c r="A1104" s="70"/>
      <c r="B1104" s="83"/>
      <c r="C1104" s="84"/>
      <c r="D1104" s="83"/>
      <c r="E1104" s="83"/>
    </row>
    <row r="1105" spans="1:5" ht="12.75">
      <c r="A1105" s="70"/>
      <c r="B1105" s="83"/>
      <c r="C1105" s="84"/>
      <c r="D1105" s="83"/>
      <c r="E1105" s="83"/>
    </row>
    <row r="1106" spans="1:5" ht="12.75">
      <c r="A1106" s="70"/>
      <c r="B1106" s="83"/>
      <c r="C1106" s="84"/>
      <c r="D1106" s="83"/>
      <c r="E1106" s="83"/>
    </row>
    <row r="1107" spans="1:5" ht="12.75">
      <c r="A1107" s="70"/>
      <c r="B1107" s="83"/>
      <c r="C1107" s="84"/>
      <c r="D1107" s="83"/>
      <c r="E1107" s="83"/>
    </row>
    <row r="1108" spans="1:5" ht="12.75">
      <c r="A1108" s="70"/>
      <c r="B1108" s="83"/>
      <c r="C1108" s="84"/>
      <c r="D1108" s="83"/>
      <c r="E1108" s="83"/>
    </row>
    <row r="1109" spans="1:5" ht="12.75">
      <c r="A1109" s="70"/>
      <c r="B1109" s="83"/>
      <c r="C1109" s="84"/>
      <c r="D1109" s="83"/>
      <c r="E1109" s="83"/>
    </row>
    <row r="1110" spans="1:5" ht="12.75">
      <c r="A1110" s="70"/>
      <c r="B1110" s="83"/>
      <c r="C1110" s="84"/>
      <c r="D1110" s="83"/>
      <c r="E1110" s="83"/>
    </row>
    <row r="1111" spans="1:5" ht="12.75">
      <c r="A1111" s="70"/>
      <c r="B1111" s="83"/>
      <c r="C1111" s="84"/>
      <c r="D1111" s="83"/>
      <c r="E1111" s="83"/>
    </row>
    <row r="1112" spans="1:5" ht="12.75">
      <c r="A1112" s="70"/>
      <c r="B1112" s="83"/>
      <c r="C1112" s="84"/>
      <c r="D1112" s="83"/>
      <c r="E1112" s="83"/>
    </row>
    <row r="1113" spans="1:5" ht="12.75">
      <c r="A1113" s="70"/>
      <c r="B1113" s="83"/>
      <c r="C1113" s="84"/>
      <c r="D1113" s="83"/>
      <c r="E1113" s="83"/>
    </row>
    <row r="1114" spans="1:5" ht="12.75">
      <c r="A1114" s="70"/>
      <c r="B1114" s="83"/>
      <c r="C1114" s="84"/>
      <c r="D1114" s="83"/>
      <c r="E1114" s="83"/>
    </row>
    <row r="1115" spans="1:5" ht="12.75">
      <c r="A1115" s="70"/>
      <c r="B1115" s="83"/>
      <c r="C1115" s="84"/>
      <c r="D1115" s="83"/>
      <c r="E1115" s="83"/>
    </row>
    <row r="1116" spans="1:5" ht="12.75">
      <c r="A1116" s="70"/>
      <c r="B1116" s="83"/>
      <c r="C1116" s="84"/>
      <c r="D1116" s="83"/>
      <c r="E1116" s="83"/>
    </row>
    <row r="1117" spans="1:5" ht="12.75">
      <c r="A1117" s="70"/>
      <c r="B1117" s="83"/>
      <c r="C1117" s="84"/>
      <c r="D1117" s="83"/>
      <c r="E1117" s="83"/>
    </row>
    <row r="1118" spans="1:5" ht="12.75">
      <c r="A1118" s="70"/>
      <c r="B1118" s="83"/>
      <c r="C1118" s="84"/>
      <c r="D1118" s="83"/>
      <c r="E1118" s="83"/>
    </row>
    <row r="1119" spans="1:5" ht="12.75">
      <c r="A1119" s="70"/>
      <c r="B1119" s="83"/>
      <c r="C1119" s="84"/>
      <c r="D1119" s="83"/>
      <c r="E1119" s="83"/>
    </row>
    <row r="1120" spans="1:5" ht="12.75">
      <c r="A1120" s="70"/>
      <c r="B1120" s="83"/>
      <c r="C1120" s="84"/>
      <c r="D1120" s="83"/>
      <c r="E1120" s="83"/>
    </row>
    <row r="1121" spans="1:5" ht="12.75">
      <c r="A1121" s="70"/>
      <c r="B1121" s="83"/>
      <c r="C1121" s="84"/>
      <c r="D1121" s="83"/>
      <c r="E1121" s="83"/>
    </row>
    <row r="1122" spans="1:5" ht="12.75">
      <c r="A1122" s="70"/>
      <c r="B1122" s="83"/>
      <c r="C1122" s="84"/>
      <c r="D1122" s="83"/>
      <c r="E1122" s="83"/>
    </row>
    <row r="1123" spans="1:5" ht="12.75">
      <c r="A1123" s="70"/>
      <c r="B1123" s="83"/>
      <c r="C1123" s="84"/>
      <c r="D1123" s="83"/>
      <c r="E1123" s="83"/>
    </row>
    <row r="1124" spans="1:5" ht="12.75">
      <c r="A1124" s="70"/>
      <c r="B1124" s="83"/>
      <c r="C1124" s="84"/>
      <c r="D1124" s="83"/>
      <c r="E1124" s="83"/>
    </row>
    <row r="1125" spans="1:5" ht="12.75">
      <c r="A1125" s="70"/>
      <c r="B1125" s="83"/>
      <c r="C1125" s="84"/>
      <c r="D1125" s="83"/>
      <c r="E1125" s="83"/>
    </row>
    <row r="1126" spans="1:5" ht="12.75">
      <c r="A1126" s="70"/>
      <c r="B1126" s="83"/>
      <c r="C1126" s="84"/>
      <c r="D1126" s="83"/>
      <c r="E1126" s="83"/>
    </row>
    <row r="1127" spans="1:5" ht="12.75">
      <c r="A1127" s="70"/>
      <c r="B1127" s="83"/>
      <c r="C1127" s="84"/>
      <c r="D1127" s="83"/>
      <c r="E1127" s="83"/>
    </row>
    <row r="1128" spans="1:5" ht="12.75">
      <c r="A1128" s="70"/>
      <c r="B1128" s="83"/>
      <c r="C1128" s="84"/>
      <c r="D1128" s="83"/>
      <c r="E1128" s="83"/>
    </row>
    <row r="1129" spans="1:5" ht="12.75">
      <c r="A1129" s="70"/>
      <c r="B1129" s="83"/>
      <c r="C1129" s="84"/>
      <c r="D1129" s="83"/>
      <c r="E1129" s="83"/>
    </row>
    <row r="1130" spans="1:5" ht="12.75">
      <c r="A1130" s="70"/>
      <c r="B1130" s="83"/>
      <c r="C1130" s="84"/>
      <c r="D1130" s="83"/>
      <c r="E1130" s="83"/>
    </row>
    <row r="1131" spans="1:5" ht="12.75">
      <c r="A1131" s="70"/>
      <c r="B1131" s="83"/>
      <c r="C1131" s="84"/>
      <c r="D1131" s="83"/>
      <c r="E1131" s="83"/>
    </row>
    <row r="1132" spans="1:5" ht="12.75">
      <c r="A1132" s="70"/>
      <c r="B1132" s="83"/>
      <c r="C1132" s="84"/>
      <c r="D1132" s="83"/>
      <c r="E1132" s="83"/>
    </row>
    <row r="1133" spans="1:5" ht="12.75">
      <c r="A1133" s="70"/>
      <c r="B1133" s="83"/>
      <c r="C1133" s="84"/>
      <c r="D1133" s="83"/>
      <c r="E1133" s="83"/>
    </row>
    <row r="1134" spans="1:5" ht="12.75">
      <c r="A1134" s="70"/>
      <c r="B1134" s="83"/>
      <c r="C1134" s="84"/>
      <c r="D1134" s="83"/>
      <c r="E1134" s="83"/>
    </row>
    <row r="1135" spans="1:5" ht="12.75">
      <c r="A1135" s="70"/>
      <c r="B1135" s="83"/>
      <c r="C1135" s="84"/>
      <c r="D1135" s="83"/>
      <c r="E1135" s="83"/>
    </row>
    <row r="1136" spans="1:5" ht="12.75">
      <c r="A1136" s="70"/>
      <c r="B1136" s="83"/>
      <c r="C1136" s="84"/>
      <c r="D1136" s="83"/>
      <c r="E1136" s="83"/>
    </row>
    <row r="1137" spans="1:5" ht="12.75">
      <c r="A1137" s="70"/>
      <c r="B1137" s="83"/>
      <c r="C1137" s="84"/>
      <c r="D1137" s="83"/>
      <c r="E1137" s="83"/>
    </row>
    <row r="1138" spans="1:5" ht="12.75">
      <c r="A1138" s="70"/>
      <c r="B1138" s="83"/>
      <c r="C1138" s="84"/>
      <c r="D1138" s="83"/>
      <c r="E1138" s="83"/>
    </row>
    <row r="1139" spans="1:5" ht="12.75">
      <c r="A1139" s="70"/>
      <c r="B1139" s="83"/>
      <c r="C1139" s="84"/>
      <c r="D1139" s="83"/>
      <c r="E1139" s="83"/>
    </row>
    <row r="1140" spans="1:5" ht="12.75">
      <c r="A1140" s="70"/>
      <c r="B1140" s="83"/>
      <c r="C1140" s="84"/>
      <c r="D1140" s="83"/>
      <c r="E1140" s="83"/>
    </row>
    <row r="1141" spans="1:5" ht="12.75">
      <c r="A1141" s="70"/>
      <c r="B1141" s="83"/>
      <c r="C1141" s="84"/>
      <c r="D1141" s="83"/>
      <c r="E1141" s="83"/>
    </row>
    <row r="1142" spans="1:5" ht="12.75">
      <c r="A1142" s="70"/>
      <c r="B1142" s="83"/>
      <c r="C1142" s="84"/>
      <c r="D1142" s="83"/>
      <c r="E1142" s="83"/>
    </row>
    <row r="1143" spans="1:5" ht="12.75">
      <c r="A1143" s="70"/>
      <c r="B1143" s="83"/>
      <c r="C1143" s="84"/>
      <c r="D1143" s="83"/>
      <c r="E1143" s="83"/>
    </row>
    <row r="1144" spans="1:5" ht="12.75">
      <c r="A1144" s="70"/>
      <c r="B1144" s="83"/>
      <c r="C1144" s="84"/>
      <c r="D1144" s="83"/>
      <c r="E1144" s="83"/>
    </row>
    <row r="1145" spans="1:5" ht="12.75">
      <c r="A1145" s="70"/>
      <c r="B1145" s="83"/>
      <c r="C1145" s="84"/>
      <c r="D1145" s="83"/>
      <c r="E1145" s="83"/>
    </row>
    <row r="1146" spans="1:5" ht="12.75">
      <c r="A1146" s="70"/>
      <c r="B1146" s="83"/>
      <c r="C1146" s="84"/>
      <c r="D1146" s="83"/>
      <c r="E1146" s="83"/>
    </row>
    <row r="1147" spans="1:5" ht="12.75">
      <c r="A1147" s="70"/>
      <c r="B1147" s="83"/>
      <c r="C1147" s="84"/>
      <c r="D1147" s="83"/>
      <c r="E1147" s="83"/>
    </row>
    <row r="1148" spans="1:5" ht="12.75">
      <c r="A1148" s="70"/>
      <c r="B1148" s="83"/>
      <c r="C1148" s="84"/>
      <c r="D1148" s="83"/>
      <c r="E1148" s="83"/>
    </row>
    <row r="1149" spans="1:5" ht="12.75">
      <c r="A1149" s="70"/>
      <c r="B1149" s="83"/>
      <c r="C1149" s="84"/>
      <c r="D1149" s="83"/>
      <c r="E1149" s="83"/>
    </row>
    <row r="1150" spans="1:5" ht="12.75">
      <c r="A1150" s="70"/>
      <c r="B1150" s="83"/>
      <c r="C1150" s="84"/>
      <c r="D1150" s="83"/>
      <c r="E1150" s="83"/>
    </row>
    <row r="1151" spans="1:5" ht="12.75">
      <c r="A1151" s="70"/>
      <c r="B1151" s="83"/>
      <c r="C1151" s="84"/>
      <c r="D1151" s="83"/>
      <c r="E1151" s="83"/>
    </row>
    <row r="1152" spans="1:5" ht="12.75">
      <c r="A1152" s="70"/>
      <c r="B1152" s="83"/>
      <c r="C1152" s="84"/>
      <c r="D1152" s="83"/>
      <c r="E1152" s="83"/>
    </row>
    <row r="1153" spans="1:5" ht="12.75">
      <c r="A1153" s="70"/>
      <c r="B1153" s="83"/>
      <c r="C1153" s="84"/>
      <c r="D1153" s="83"/>
      <c r="E1153" s="83"/>
    </row>
    <row r="1154" spans="1:5" ht="12.75">
      <c r="A1154" s="70"/>
      <c r="B1154" s="83"/>
      <c r="C1154" s="84"/>
      <c r="D1154" s="83"/>
      <c r="E1154" s="83"/>
    </row>
    <row r="1155" spans="1:5" ht="12.75">
      <c r="A1155" s="70"/>
      <c r="B1155" s="83"/>
      <c r="C1155" s="84"/>
      <c r="D1155" s="83"/>
      <c r="E1155" s="83"/>
    </row>
    <row r="1156" spans="1:5" ht="12.75">
      <c r="A1156" s="70"/>
      <c r="B1156" s="83"/>
      <c r="C1156" s="84"/>
      <c r="D1156" s="83"/>
      <c r="E1156" s="83"/>
    </row>
    <row r="1157" spans="1:5" ht="12.75">
      <c r="A1157" s="70"/>
      <c r="B1157" s="83"/>
      <c r="C1157" s="84"/>
      <c r="D1157" s="83"/>
      <c r="E1157" s="83"/>
    </row>
    <row r="1158" spans="1:5" ht="12.75">
      <c r="A1158" s="70"/>
      <c r="B1158" s="83"/>
      <c r="C1158" s="84"/>
      <c r="D1158" s="83"/>
      <c r="E1158" s="83"/>
    </row>
    <row r="1159" spans="1:5" ht="12.75">
      <c r="A1159" s="70"/>
      <c r="B1159" s="83"/>
      <c r="C1159" s="84"/>
      <c r="D1159" s="83"/>
      <c r="E1159" s="83"/>
    </row>
    <row r="1160" spans="1:5" ht="12.75">
      <c r="A1160" s="70"/>
      <c r="B1160" s="83"/>
      <c r="C1160" s="84"/>
      <c r="D1160" s="83"/>
      <c r="E1160" s="83"/>
    </row>
    <row r="1161" spans="1:5" ht="12.75">
      <c r="A1161" s="70"/>
      <c r="B1161" s="83"/>
      <c r="C1161" s="84"/>
      <c r="D1161" s="83"/>
      <c r="E1161" s="83"/>
    </row>
    <row r="1162" spans="1:5" ht="12.75">
      <c r="A1162" s="70"/>
      <c r="B1162" s="83"/>
      <c r="C1162" s="84"/>
      <c r="D1162" s="83"/>
      <c r="E1162" s="83"/>
    </row>
    <row r="1163" spans="1:5" ht="12.75">
      <c r="A1163" s="70"/>
      <c r="B1163" s="83"/>
      <c r="C1163" s="84"/>
      <c r="D1163" s="83"/>
      <c r="E1163" s="83"/>
    </row>
    <row r="1164" spans="1:5" ht="12.75">
      <c r="A1164" s="70"/>
      <c r="B1164" s="83"/>
      <c r="C1164" s="84"/>
      <c r="D1164" s="83"/>
      <c r="E1164" s="83"/>
    </row>
    <row r="1165" spans="1:5" ht="12.75">
      <c r="A1165" s="70"/>
      <c r="B1165" s="83"/>
      <c r="C1165" s="84"/>
      <c r="D1165" s="83"/>
      <c r="E1165" s="83"/>
    </row>
    <row r="1166" spans="1:5" ht="12.75">
      <c r="A1166" s="70"/>
      <c r="B1166" s="83"/>
      <c r="C1166" s="84"/>
      <c r="D1166" s="83"/>
      <c r="E1166" s="83"/>
    </row>
    <row r="1167" spans="1:5" ht="12.75">
      <c r="A1167" s="70"/>
      <c r="B1167" s="83"/>
      <c r="C1167" s="84"/>
      <c r="D1167" s="83"/>
      <c r="E1167" s="83"/>
    </row>
    <row r="1168" spans="1:5" ht="12.75">
      <c r="A1168" s="70"/>
      <c r="B1168" s="83"/>
      <c r="C1168" s="84"/>
      <c r="D1168" s="83"/>
      <c r="E1168" s="83"/>
    </row>
    <row r="1169" spans="1:5" ht="12.75">
      <c r="A1169" s="70"/>
      <c r="B1169" s="83"/>
      <c r="C1169" s="84"/>
      <c r="D1169" s="83"/>
      <c r="E1169" s="83"/>
    </row>
    <row r="1170" spans="1:5" ht="12.75">
      <c r="A1170" s="70"/>
      <c r="B1170" s="83"/>
      <c r="C1170" s="84"/>
      <c r="D1170" s="83"/>
      <c r="E1170" s="83"/>
    </row>
    <row r="1171" spans="1:5" ht="12.75">
      <c r="A1171" s="70"/>
      <c r="B1171" s="83"/>
      <c r="C1171" s="84"/>
      <c r="D1171" s="83"/>
      <c r="E1171" s="83"/>
    </row>
    <row r="1172" spans="1:5" ht="12.75">
      <c r="A1172" s="70"/>
      <c r="B1172" s="83"/>
      <c r="C1172" s="84"/>
      <c r="D1172" s="83"/>
      <c r="E1172" s="83"/>
    </row>
    <row r="1173" spans="1:5" ht="12.75">
      <c r="A1173" s="70"/>
      <c r="B1173" s="83"/>
      <c r="C1173" s="84"/>
      <c r="D1173" s="83"/>
      <c r="E1173" s="83"/>
    </row>
    <row r="1174" spans="1:5" ht="12.75">
      <c r="A1174" s="70"/>
      <c r="B1174" s="83"/>
      <c r="C1174" s="84"/>
      <c r="D1174" s="83"/>
      <c r="E1174" s="83"/>
    </row>
    <row r="1175" spans="1:5" ht="12.75">
      <c r="A1175" s="70"/>
      <c r="B1175" s="83"/>
      <c r="C1175" s="84"/>
      <c r="D1175" s="83"/>
      <c r="E1175" s="83"/>
    </row>
    <row r="1176" spans="1:5" ht="12.75">
      <c r="A1176" s="70"/>
      <c r="B1176" s="83"/>
      <c r="C1176" s="84"/>
      <c r="D1176" s="83"/>
      <c r="E1176" s="83"/>
    </row>
    <row r="1177" spans="1:5" ht="12.75">
      <c r="A1177" s="70"/>
      <c r="B1177" s="83"/>
      <c r="C1177" s="84"/>
      <c r="D1177" s="83"/>
      <c r="E1177" s="83"/>
    </row>
    <row r="1178" spans="1:5" ht="12.75">
      <c r="A1178" s="70"/>
      <c r="B1178" s="83"/>
      <c r="C1178" s="84"/>
      <c r="D1178" s="83"/>
      <c r="E1178" s="83"/>
    </row>
    <row r="1179" spans="1:5" ht="12.75">
      <c r="A1179" s="70"/>
      <c r="B1179" s="83"/>
      <c r="C1179" s="84"/>
      <c r="D1179" s="83"/>
      <c r="E1179" s="83"/>
    </row>
    <row r="1180" spans="1:5" ht="12.75">
      <c r="A1180" s="70"/>
      <c r="B1180" s="83"/>
      <c r="C1180" s="84"/>
      <c r="D1180" s="83"/>
      <c r="E1180" s="83"/>
    </row>
    <row r="1181" spans="1:5" ht="12.75">
      <c r="A1181" s="70"/>
      <c r="B1181" s="83"/>
      <c r="C1181" s="84"/>
      <c r="D1181" s="83"/>
      <c r="E1181" s="83"/>
    </row>
    <row r="1182" spans="1:5" ht="12.75">
      <c r="A1182" s="70"/>
      <c r="B1182" s="83"/>
      <c r="C1182" s="84"/>
      <c r="D1182" s="83"/>
      <c r="E1182" s="83"/>
    </row>
    <row r="1183" spans="1:5" ht="12.75">
      <c r="A1183" s="70"/>
      <c r="B1183" s="83"/>
      <c r="C1183" s="84"/>
      <c r="D1183" s="83"/>
      <c r="E1183" s="83"/>
    </row>
    <row r="1184" spans="1:5" ht="12.75">
      <c r="A1184" s="70"/>
      <c r="B1184" s="83"/>
      <c r="C1184" s="84"/>
      <c r="D1184" s="83"/>
      <c r="E1184" s="83"/>
    </row>
    <row r="1185" spans="1:5" ht="12.75">
      <c r="A1185" s="70"/>
      <c r="B1185" s="83"/>
      <c r="C1185" s="84"/>
      <c r="D1185" s="83"/>
      <c r="E1185" s="83"/>
    </row>
    <row r="1186" spans="1:5" ht="12.75">
      <c r="A1186" s="70"/>
      <c r="B1186" s="83"/>
      <c r="C1186" s="84"/>
      <c r="D1186" s="83"/>
      <c r="E1186" s="83"/>
    </row>
    <row r="1187" spans="1:5" ht="12.75">
      <c r="A1187" s="70"/>
      <c r="B1187" s="83"/>
      <c r="C1187" s="84"/>
      <c r="D1187" s="83"/>
      <c r="E1187" s="83"/>
    </row>
    <row r="1188" spans="1:5" ht="12.75">
      <c r="A1188" s="70"/>
      <c r="B1188" s="83"/>
      <c r="C1188" s="84"/>
      <c r="D1188" s="83"/>
      <c r="E1188" s="83"/>
    </row>
    <row r="1189" spans="1:5" ht="12.75">
      <c r="A1189" s="70"/>
      <c r="B1189" s="83"/>
      <c r="C1189" s="84"/>
      <c r="D1189" s="83"/>
      <c r="E1189" s="83"/>
    </row>
    <row r="1190" spans="1:5" ht="12.75">
      <c r="A1190" s="70"/>
      <c r="B1190" s="83"/>
      <c r="C1190" s="84"/>
      <c r="D1190" s="83"/>
      <c r="E1190" s="83"/>
    </row>
    <row r="1191" spans="1:5" ht="12.75">
      <c r="A1191" s="70"/>
      <c r="B1191" s="83"/>
      <c r="C1191" s="84"/>
      <c r="D1191" s="83"/>
      <c r="E1191" s="83"/>
    </row>
    <row r="1192" spans="1:5" ht="12.75">
      <c r="A1192" s="70"/>
      <c r="B1192" s="83"/>
      <c r="C1192" s="84"/>
      <c r="D1192" s="83"/>
      <c r="E1192" s="83"/>
    </row>
    <row r="1193" spans="1:5" ht="12.75">
      <c r="A1193" s="70"/>
      <c r="B1193" s="83"/>
      <c r="C1193" s="84"/>
      <c r="D1193" s="83"/>
      <c r="E1193" s="83"/>
    </row>
    <row r="1194" spans="1:5" ht="12.75">
      <c r="A1194" s="70"/>
      <c r="B1194" s="83"/>
      <c r="C1194" s="84"/>
      <c r="D1194" s="83"/>
      <c r="E1194" s="83"/>
    </row>
    <row r="1195" spans="1:5" ht="12.75">
      <c r="A1195" s="70"/>
      <c r="B1195" s="83"/>
      <c r="C1195" s="84"/>
      <c r="D1195" s="83"/>
      <c r="E1195" s="83"/>
    </row>
    <row r="1196" spans="1:5" ht="12.75">
      <c r="A1196" s="70"/>
      <c r="B1196" s="83"/>
      <c r="C1196" s="84"/>
      <c r="D1196" s="83"/>
      <c r="E1196" s="83"/>
    </row>
    <row r="1197" spans="1:5" ht="12.75">
      <c r="A1197" s="70"/>
      <c r="B1197" s="83"/>
      <c r="C1197" s="84"/>
      <c r="D1197" s="83"/>
      <c r="E1197" s="83"/>
    </row>
    <row r="1198" spans="1:5" ht="12.75">
      <c r="A1198" s="70"/>
      <c r="B1198" s="83"/>
      <c r="C1198" s="84"/>
      <c r="D1198" s="83"/>
      <c r="E1198" s="83"/>
    </row>
    <row r="1199" spans="1:5" ht="12.75">
      <c r="A1199" s="70"/>
      <c r="B1199" s="83"/>
      <c r="C1199" s="84"/>
      <c r="D1199" s="83"/>
      <c r="E1199" s="83"/>
    </row>
    <row r="1200" spans="1:5" ht="12.75">
      <c r="A1200" s="70"/>
      <c r="B1200" s="83"/>
      <c r="C1200" s="84"/>
      <c r="D1200" s="83"/>
      <c r="E1200" s="83"/>
    </row>
    <row r="1201" spans="1:5" ht="12.75">
      <c r="A1201" s="70"/>
      <c r="B1201" s="83"/>
      <c r="C1201" s="84"/>
      <c r="D1201" s="83"/>
      <c r="E1201" s="83"/>
    </row>
    <row r="1202" spans="1:5" ht="12.75">
      <c r="A1202" s="70"/>
      <c r="B1202" s="83"/>
      <c r="C1202" s="84"/>
      <c r="D1202" s="83"/>
      <c r="E1202" s="83"/>
    </row>
    <row r="1203" spans="1:5" ht="12.75">
      <c r="A1203" s="70"/>
      <c r="B1203" s="83"/>
      <c r="C1203" s="84"/>
      <c r="D1203" s="83"/>
      <c r="E1203" s="83"/>
    </row>
    <row r="1204" spans="1:5" ht="12.75">
      <c r="A1204" s="70"/>
      <c r="B1204" s="83"/>
      <c r="C1204" s="84"/>
      <c r="D1204" s="83"/>
      <c r="E1204" s="83"/>
    </row>
    <row r="1205" spans="1:5" ht="12.75">
      <c r="A1205" s="70"/>
      <c r="B1205" s="83"/>
      <c r="C1205" s="84"/>
      <c r="D1205" s="83"/>
      <c r="E1205" s="83"/>
    </row>
    <row r="1206" spans="1:5" ht="12.75">
      <c r="A1206" s="70"/>
      <c r="B1206" s="83"/>
      <c r="C1206" s="84"/>
      <c r="D1206" s="83"/>
      <c r="E1206" s="83"/>
    </row>
    <row r="1207" spans="1:5" ht="12.75">
      <c r="A1207" s="70"/>
      <c r="B1207" s="83"/>
      <c r="C1207" s="84"/>
      <c r="D1207" s="83"/>
      <c r="E1207" s="83"/>
    </row>
    <row r="1208" spans="1:5" ht="12.75">
      <c r="A1208" s="70"/>
      <c r="B1208" s="83"/>
      <c r="C1208" s="84"/>
      <c r="D1208" s="83"/>
      <c r="E1208" s="83"/>
    </row>
    <row r="1209" spans="1:5" ht="12.75">
      <c r="A1209" s="70"/>
      <c r="B1209" s="83"/>
      <c r="C1209" s="84"/>
      <c r="D1209" s="83"/>
      <c r="E1209" s="83"/>
    </row>
    <row r="1210" spans="1:5" ht="12.75">
      <c r="A1210" s="70"/>
      <c r="B1210" s="83"/>
      <c r="C1210" s="84"/>
      <c r="D1210" s="83"/>
      <c r="E1210" s="83"/>
    </row>
    <row r="1211" spans="1:5" ht="12.75">
      <c r="A1211" s="70"/>
      <c r="B1211" s="83"/>
      <c r="C1211" s="84"/>
      <c r="D1211" s="83"/>
      <c r="E1211" s="83"/>
    </row>
    <row r="1212" spans="1:5" ht="12.75">
      <c r="A1212" s="70"/>
      <c r="B1212" s="83"/>
      <c r="C1212" s="84"/>
      <c r="D1212" s="83"/>
      <c r="E1212" s="83"/>
    </row>
    <row r="1213" spans="1:5" ht="12.75">
      <c r="A1213" s="70"/>
      <c r="B1213" s="83"/>
      <c r="C1213" s="84"/>
      <c r="D1213" s="83"/>
      <c r="E1213" s="83"/>
    </row>
    <row r="1214" spans="1:5" ht="12.75">
      <c r="A1214" s="70"/>
      <c r="B1214" s="83"/>
      <c r="C1214" s="84"/>
      <c r="D1214" s="83"/>
      <c r="E1214" s="83"/>
    </row>
    <row r="1215" spans="1:5" ht="12.75">
      <c r="A1215" s="70"/>
      <c r="B1215" s="83"/>
      <c r="C1215" s="84"/>
      <c r="D1215" s="83"/>
      <c r="E1215" s="83"/>
    </row>
    <row r="1216" spans="1:5" ht="12.75">
      <c r="A1216" s="70"/>
      <c r="B1216" s="83"/>
      <c r="C1216" s="84"/>
      <c r="D1216" s="83"/>
      <c r="E1216" s="83"/>
    </row>
    <row r="1217" spans="1:5" ht="12.75">
      <c r="A1217" s="70"/>
      <c r="B1217" s="83"/>
      <c r="C1217" s="84"/>
      <c r="D1217" s="83"/>
      <c r="E1217" s="83"/>
    </row>
    <row r="1218" spans="1:5" ht="12.75">
      <c r="A1218" s="70"/>
      <c r="B1218" s="83"/>
      <c r="C1218" s="84"/>
      <c r="D1218" s="83"/>
      <c r="E1218" s="83"/>
    </row>
    <row r="1219" spans="1:5" ht="12.75">
      <c r="A1219" s="70"/>
      <c r="B1219" s="83"/>
      <c r="C1219" s="84"/>
      <c r="D1219" s="83"/>
      <c r="E1219" s="83"/>
    </row>
    <row r="1220" spans="1:5" ht="12.75">
      <c r="A1220" s="70"/>
      <c r="B1220" s="83"/>
      <c r="C1220" s="84"/>
      <c r="D1220" s="83"/>
      <c r="E1220" s="83"/>
    </row>
    <row r="1221" spans="1:5" ht="12.75">
      <c r="A1221" s="70"/>
      <c r="B1221" s="83"/>
      <c r="C1221" s="84"/>
      <c r="D1221" s="83"/>
      <c r="E1221" s="83"/>
    </row>
    <row r="1222" spans="1:5" ht="12.75">
      <c r="A1222" s="70"/>
      <c r="B1222" s="83"/>
      <c r="C1222" s="84"/>
      <c r="D1222" s="83"/>
      <c r="E1222" s="83"/>
    </row>
    <row r="1223" spans="1:5" ht="12.75">
      <c r="A1223" s="70"/>
      <c r="B1223" s="83"/>
      <c r="C1223" s="84"/>
      <c r="D1223" s="83"/>
      <c r="E1223" s="83"/>
    </row>
    <row r="1224" spans="1:5" ht="12.75">
      <c r="A1224" s="70"/>
      <c r="B1224" s="83"/>
      <c r="C1224" s="84"/>
      <c r="D1224" s="83"/>
      <c r="E1224" s="83"/>
    </row>
    <row r="1225" spans="1:5" ht="12.75">
      <c r="A1225" s="70"/>
      <c r="B1225" s="83"/>
      <c r="C1225" s="84"/>
      <c r="D1225" s="83"/>
      <c r="E1225" s="83"/>
    </row>
    <row r="1226" spans="1:5" ht="12.75">
      <c r="A1226" s="70"/>
      <c r="B1226" s="83"/>
      <c r="C1226" s="84"/>
      <c r="D1226" s="83"/>
      <c r="E1226" s="83"/>
    </row>
    <row r="1227" spans="1:5" ht="12.75">
      <c r="A1227" s="70"/>
      <c r="B1227" s="83"/>
      <c r="C1227" s="84"/>
      <c r="D1227" s="83"/>
      <c r="E1227" s="83"/>
    </row>
    <row r="1228" spans="1:5" ht="12.75">
      <c r="A1228" s="70"/>
      <c r="B1228" s="83"/>
      <c r="C1228" s="84"/>
      <c r="D1228" s="83"/>
      <c r="E1228" s="83"/>
    </row>
    <row r="1229" spans="1:5" ht="12.75">
      <c r="A1229" s="70"/>
      <c r="B1229" s="83"/>
      <c r="C1229" s="84"/>
      <c r="D1229" s="83"/>
      <c r="E1229" s="83"/>
    </row>
    <row r="1230" spans="1:5" ht="12.75">
      <c r="A1230" s="70"/>
      <c r="B1230" s="83"/>
      <c r="C1230" s="84"/>
      <c r="D1230" s="83"/>
      <c r="E1230" s="83"/>
    </row>
    <row r="1231" spans="1:5" ht="12.75">
      <c r="A1231" s="70"/>
      <c r="B1231" s="83"/>
      <c r="C1231" s="84"/>
      <c r="D1231" s="83"/>
      <c r="E1231" s="83"/>
    </row>
    <row r="1232" spans="1:5" ht="12.75">
      <c r="A1232" s="70"/>
      <c r="B1232" s="83"/>
      <c r="C1232" s="84"/>
      <c r="D1232" s="83"/>
      <c r="E1232" s="83"/>
    </row>
    <row r="1233" spans="1:5" ht="12.75">
      <c r="A1233" s="70"/>
      <c r="B1233" s="83"/>
      <c r="C1233" s="84"/>
      <c r="D1233" s="83"/>
      <c r="E1233" s="83"/>
    </row>
    <row r="1234" spans="1:5" ht="12.75">
      <c r="A1234" s="70"/>
      <c r="B1234" s="83"/>
      <c r="C1234" s="84"/>
      <c r="D1234" s="83"/>
      <c r="E1234" s="83"/>
    </row>
    <row r="1235" spans="1:5" ht="12.75">
      <c r="A1235" s="70"/>
      <c r="B1235" s="83"/>
      <c r="C1235" s="84"/>
      <c r="D1235" s="83"/>
      <c r="E1235" s="83"/>
    </row>
    <row r="1236" spans="1:5" ht="12.75">
      <c r="A1236" s="70"/>
      <c r="B1236" s="83"/>
      <c r="C1236" s="84"/>
      <c r="D1236" s="83"/>
      <c r="E1236" s="83"/>
    </row>
    <row r="1237" spans="1:5" ht="12.75">
      <c r="A1237" s="70"/>
      <c r="B1237" s="83"/>
      <c r="C1237" s="84"/>
      <c r="D1237" s="83"/>
      <c r="E1237" s="83"/>
    </row>
    <row r="1238" spans="1:5" ht="12.75">
      <c r="A1238" s="70"/>
      <c r="B1238" s="83"/>
      <c r="C1238" s="84"/>
      <c r="D1238" s="83"/>
      <c r="E1238" s="83"/>
    </row>
    <row r="1239" spans="1:5" ht="12.75">
      <c r="A1239" s="70"/>
      <c r="B1239" s="83"/>
      <c r="C1239" s="84"/>
      <c r="D1239" s="83"/>
      <c r="E1239" s="83"/>
    </row>
    <row r="1240" spans="1:5" ht="12.75">
      <c r="A1240" s="70"/>
      <c r="B1240" s="83"/>
      <c r="C1240" s="84"/>
      <c r="D1240" s="83"/>
      <c r="E1240" s="83"/>
    </row>
    <row r="1241" spans="1:5" ht="12.75">
      <c r="A1241" s="70"/>
      <c r="B1241" s="83"/>
      <c r="C1241" s="84"/>
      <c r="D1241" s="83"/>
      <c r="E1241" s="83"/>
    </row>
    <row r="1242" spans="1:5" ht="12.75">
      <c r="A1242" s="70"/>
      <c r="B1242" s="83"/>
      <c r="C1242" s="84"/>
      <c r="D1242" s="83"/>
      <c r="E1242" s="83"/>
    </row>
    <row r="1243" spans="1:5" ht="12.75">
      <c r="A1243" s="70"/>
      <c r="B1243" s="83"/>
      <c r="C1243" s="84"/>
      <c r="D1243" s="83"/>
      <c r="E1243" s="83"/>
    </row>
    <row r="1244" spans="1:5" ht="12.75">
      <c r="A1244" s="70"/>
      <c r="B1244" s="83"/>
      <c r="C1244" s="84"/>
      <c r="D1244" s="83"/>
      <c r="E1244" s="83"/>
    </row>
    <row r="1245" spans="1:5" ht="12.75">
      <c r="A1245" s="70"/>
      <c r="B1245" s="83"/>
      <c r="C1245" s="84"/>
      <c r="D1245" s="83"/>
      <c r="E1245" s="83"/>
    </row>
    <row r="1246" spans="1:5" ht="12.75">
      <c r="A1246" s="70"/>
      <c r="B1246" s="83"/>
      <c r="C1246" s="84"/>
      <c r="D1246" s="83"/>
      <c r="E1246" s="83"/>
    </row>
    <row r="1247" spans="1:5" ht="12.75">
      <c r="A1247" s="70"/>
      <c r="B1247" s="83"/>
      <c r="C1247" s="84"/>
      <c r="D1247" s="83"/>
      <c r="E1247" s="83"/>
    </row>
    <row r="1248" spans="1:5" ht="12.75">
      <c r="A1248" s="70"/>
      <c r="B1248" s="83"/>
      <c r="C1248" s="84"/>
      <c r="D1248" s="83"/>
      <c r="E1248" s="83"/>
    </row>
    <row r="1249" spans="1:5" ht="12.75">
      <c r="A1249" s="70"/>
      <c r="B1249" s="83"/>
      <c r="C1249" s="84"/>
      <c r="D1249" s="83"/>
      <c r="E1249" s="83"/>
    </row>
    <row r="1250" spans="1:5" ht="12.75">
      <c r="A1250" s="70"/>
      <c r="B1250" s="83"/>
      <c r="C1250" s="84"/>
      <c r="D1250" s="83"/>
      <c r="E1250" s="83"/>
    </row>
    <row r="1251" spans="1:5" ht="12.75">
      <c r="A1251" s="70"/>
      <c r="B1251" s="83"/>
      <c r="C1251" s="84"/>
      <c r="D1251" s="83"/>
      <c r="E1251" s="83"/>
    </row>
    <row r="1252" spans="1:5" ht="12.75">
      <c r="A1252" s="70"/>
      <c r="B1252" s="83"/>
      <c r="C1252" s="84"/>
      <c r="D1252" s="83"/>
      <c r="E1252" s="83"/>
    </row>
    <row r="1253" spans="1:5" ht="12.75">
      <c r="A1253" s="70"/>
      <c r="B1253" s="83"/>
      <c r="C1253" s="84"/>
      <c r="D1253" s="83"/>
      <c r="E1253" s="83"/>
    </row>
    <row r="1254" spans="1:5" ht="12.75">
      <c r="A1254" s="70"/>
      <c r="B1254" s="83"/>
      <c r="C1254" s="84"/>
      <c r="D1254" s="83"/>
      <c r="E1254" s="83"/>
    </row>
    <row r="1255" spans="1:5" ht="12.75">
      <c r="A1255" s="70"/>
      <c r="B1255" s="83"/>
      <c r="C1255" s="84"/>
      <c r="D1255" s="83"/>
      <c r="E1255" s="83"/>
    </row>
    <row r="1256" spans="1:5" ht="12.75">
      <c r="A1256" s="70"/>
      <c r="B1256" s="83"/>
      <c r="C1256" s="84"/>
      <c r="D1256" s="83"/>
      <c r="E1256" s="83"/>
    </row>
    <row r="1257" spans="1:5" ht="12.75">
      <c r="A1257" s="70"/>
      <c r="B1257" s="83"/>
      <c r="C1257" s="84"/>
      <c r="D1257" s="83"/>
      <c r="E1257" s="83"/>
    </row>
    <row r="1258" spans="1:5" ht="12.75">
      <c r="A1258" s="70"/>
      <c r="B1258" s="83"/>
      <c r="C1258" s="84"/>
      <c r="D1258" s="83"/>
      <c r="E1258" s="83"/>
    </row>
    <row r="1259" spans="1:5" ht="12.75">
      <c r="A1259" s="70"/>
      <c r="B1259" s="83"/>
      <c r="C1259" s="84"/>
      <c r="D1259" s="83"/>
      <c r="E1259" s="83"/>
    </row>
    <row r="1260" spans="1:5" ht="12.75">
      <c r="A1260" s="70"/>
      <c r="B1260" s="83"/>
      <c r="C1260" s="84"/>
      <c r="D1260" s="83"/>
      <c r="E1260" s="83"/>
    </row>
    <row r="1261" spans="1:5" ht="12.75">
      <c r="A1261" s="70"/>
      <c r="B1261" s="83"/>
      <c r="C1261" s="84"/>
      <c r="D1261" s="83"/>
      <c r="E1261" s="83"/>
    </row>
    <row r="1262" spans="1:5" ht="12.75">
      <c r="A1262" s="70"/>
      <c r="B1262" s="83"/>
      <c r="C1262" s="84"/>
      <c r="D1262" s="83"/>
      <c r="E1262" s="83"/>
    </row>
    <row r="1263" spans="1:5" ht="12.75">
      <c r="A1263" s="70"/>
      <c r="B1263" s="83"/>
      <c r="C1263" s="84"/>
      <c r="D1263" s="83"/>
      <c r="E1263" s="83"/>
    </row>
    <row r="1264" spans="1:5" ht="12.75">
      <c r="A1264" s="70"/>
      <c r="B1264" s="83"/>
      <c r="C1264" s="84"/>
      <c r="D1264" s="83"/>
      <c r="E1264" s="83"/>
    </row>
    <row r="1265" spans="1:5" ht="12.75">
      <c r="A1265" s="70"/>
      <c r="B1265" s="83"/>
      <c r="C1265" s="84"/>
      <c r="D1265" s="83"/>
      <c r="E1265" s="83"/>
    </row>
    <row r="1266" spans="1:5" ht="12.75">
      <c r="A1266" s="70"/>
      <c r="B1266" s="83"/>
      <c r="C1266" s="84"/>
      <c r="D1266" s="83"/>
      <c r="E1266" s="83"/>
    </row>
    <row r="1267" spans="1:5" ht="12.75">
      <c r="A1267" s="70"/>
      <c r="B1267" s="83"/>
      <c r="C1267" s="84"/>
      <c r="D1267" s="83"/>
      <c r="E1267" s="83"/>
    </row>
    <row r="1268" spans="1:5" ht="12.75">
      <c r="A1268" s="70"/>
      <c r="B1268" s="83"/>
      <c r="C1268" s="84"/>
      <c r="D1268" s="83"/>
      <c r="E1268" s="83"/>
    </row>
    <row r="1269" spans="1:5" ht="12.75">
      <c r="A1269" s="70"/>
      <c r="B1269" s="83"/>
      <c r="C1269" s="84"/>
      <c r="D1269" s="83"/>
      <c r="E1269" s="83"/>
    </row>
    <row r="1270" spans="1:5" ht="12.75">
      <c r="A1270" s="70"/>
      <c r="B1270" s="83"/>
      <c r="C1270" s="84"/>
      <c r="D1270" s="83"/>
      <c r="E1270" s="83"/>
    </row>
    <row r="1271" spans="1:5" ht="12.75">
      <c r="A1271" s="70"/>
      <c r="B1271" s="83"/>
      <c r="C1271" s="84"/>
      <c r="D1271" s="83"/>
      <c r="E1271" s="83"/>
    </row>
    <row r="1272" spans="1:5" ht="12.75">
      <c r="A1272" s="70"/>
      <c r="B1272" s="83"/>
      <c r="C1272" s="84"/>
      <c r="D1272" s="83"/>
      <c r="E1272" s="83"/>
    </row>
    <row r="1273" spans="1:5" ht="12.75">
      <c r="A1273" s="70"/>
      <c r="B1273" s="83"/>
      <c r="C1273" s="84"/>
      <c r="D1273" s="83"/>
      <c r="E1273" s="83"/>
    </row>
    <row r="1274" spans="1:5" ht="12.75">
      <c r="A1274" s="70"/>
      <c r="B1274" s="83"/>
      <c r="C1274" s="84"/>
      <c r="D1274" s="83"/>
      <c r="E1274" s="83"/>
    </row>
    <row r="1275" spans="1:5" ht="12.75">
      <c r="A1275" s="70"/>
      <c r="B1275" s="83"/>
      <c r="C1275" s="84"/>
      <c r="D1275" s="83"/>
      <c r="E1275" s="83"/>
    </row>
    <row r="1276" spans="1:5" ht="12.75">
      <c r="A1276" s="70"/>
      <c r="B1276" s="83"/>
      <c r="C1276" s="84"/>
      <c r="D1276" s="83"/>
      <c r="E1276" s="83"/>
    </row>
    <row r="1277" spans="1:5" ht="12.75">
      <c r="A1277" s="70"/>
      <c r="B1277" s="83"/>
      <c r="C1277" s="84"/>
      <c r="D1277" s="83"/>
      <c r="E1277" s="83"/>
    </row>
    <row r="1278" spans="1:5" ht="12.75">
      <c r="A1278" s="70"/>
      <c r="B1278" s="83"/>
      <c r="C1278" s="84"/>
      <c r="D1278" s="83"/>
      <c r="E1278" s="83"/>
    </row>
    <row r="1279" spans="1:5" ht="12.75">
      <c r="A1279" s="70"/>
      <c r="B1279" s="83"/>
      <c r="C1279" s="84"/>
      <c r="D1279" s="83"/>
      <c r="E1279" s="83"/>
    </row>
    <row r="1280" spans="1:5" ht="12.75">
      <c r="A1280" s="70"/>
      <c r="B1280" s="83"/>
      <c r="C1280" s="84"/>
      <c r="D1280" s="83"/>
      <c r="E1280" s="83"/>
    </row>
    <row r="1281" spans="1:5" ht="12.75">
      <c r="A1281" s="70"/>
      <c r="B1281" s="83"/>
      <c r="C1281" s="84"/>
      <c r="D1281" s="83"/>
      <c r="E1281" s="83"/>
    </row>
    <row r="1282" spans="1:5" ht="12.75">
      <c r="A1282" s="70"/>
      <c r="B1282" s="83"/>
      <c r="C1282" s="84"/>
      <c r="D1282" s="83"/>
      <c r="E1282" s="83"/>
    </row>
    <row r="1283" spans="1:5" ht="12.75">
      <c r="A1283" s="70"/>
      <c r="B1283" s="83"/>
      <c r="C1283" s="84"/>
      <c r="D1283" s="83"/>
      <c r="E1283" s="83"/>
    </row>
    <row r="1284" spans="1:5" ht="12.75">
      <c r="A1284" s="70"/>
      <c r="B1284" s="83"/>
      <c r="C1284" s="84"/>
      <c r="D1284" s="83"/>
      <c r="E1284" s="83"/>
    </row>
    <row r="1285" spans="1:5" ht="12.75">
      <c r="A1285" s="70"/>
      <c r="B1285" s="83"/>
      <c r="C1285" s="84"/>
      <c r="D1285" s="83"/>
      <c r="E1285" s="83"/>
    </row>
    <row r="1286" spans="1:5" ht="12.75">
      <c r="A1286" s="70"/>
      <c r="B1286" s="83"/>
      <c r="C1286" s="84"/>
      <c r="D1286" s="83"/>
      <c r="E1286" s="83"/>
    </row>
    <row r="1287" spans="1:5" ht="12.75">
      <c r="A1287" s="70"/>
      <c r="B1287" s="83"/>
      <c r="C1287" s="84"/>
      <c r="D1287" s="83"/>
      <c r="E1287" s="83"/>
    </row>
    <row r="1288" spans="1:5" ht="12.75">
      <c r="A1288" s="70"/>
      <c r="B1288" s="83"/>
      <c r="C1288" s="84"/>
      <c r="D1288" s="83"/>
      <c r="E1288" s="83"/>
    </row>
    <row r="1289" spans="1:5" ht="12.75">
      <c r="A1289" s="70"/>
      <c r="B1289" s="83"/>
      <c r="C1289" s="84"/>
      <c r="D1289" s="83"/>
      <c r="E1289" s="83"/>
    </row>
    <row r="1290" spans="1:5" ht="12.75">
      <c r="A1290" s="70"/>
      <c r="B1290" s="83"/>
      <c r="C1290" s="84"/>
      <c r="D1290" s="83"/>
      <c r="E1290" s="83"/>
    </row>
    <row r="1291" spans="1:5" ht="12.75">
      <c r="A1291" s="70"/>
      <c r="B1291" s="83"/>
      <c r="C1291" s="84"/>
      <c r="D1291" s="83"/>
      <c r="E1291" s="83"/>
    </row>
    <row r="1292" spans="1:5" ht="12.75">
      <c r="A1292" s="70"/>
      <c r="B1292" s="83"/>
      <c r="C1292" s="84"/>
      <c r="D1292" s="83"/>
      <c r="E1292" s="83"/>
    </row>
    <row r="1293" spans="1:5" ht="12.75">
      <c r="A1293" s="70"/>
      <c r="B1293" s="83"/>
      <c r="C1293" s="84"/>
      <c r="D1293" s="83"/>
      <c r="E1293" s="83"/>
    </row>
    <row r="1294" spans="1:5" ht="12.75">
      <c r="A1294" s="70"/>
      <c r="B1294" s="83"/>
      <c r="C1294" s="84"/>
      <c r="D1294" s="83"/>
      <c r="E1294" s="83"/>
    </row>
    <row r="1295" spans="1:5" ht="12.75">
      <c r="A1295" s="70"/>
      <c r="B1295" s="83"/>
      <c r="C1295" s="84"/>
      <c r="D1295" s="83"/>
      <c r="E1295" s="83"/>
    </row>
    <row r="1296" spans="1:5" ht="12.75">
      <c r="A1296" s="70"/>
      <c r="B1296" s="83"/>
      <c r="C1296" s="84"/>
      <c r="D1296" s="83"/>
      <c r="E1296" s="83"/>
    </row>
    <row r="1297" spans="1:5" ht="12.75">
      <c r="A1297" s="70"/>
      <c r="B1297" s="83"/>
      <c r="C1297" s="84"/>
      <c r="D1297" s="83"/>
      <c r="E1297" s="83"/>
    </row>
    <row r="1298" spans="1:5" ht="12.75">
      <c r="A1298" s="70"/>
      <c r="B1298" s="83"/>
      <c r="C1298" s="84"/>
      <c r="D1298" s="83"/>
      <c r="E1298" s="83"/>
    </row>
    <row r="1299" spans="1:5" ht="12.75">
      <c r="A1299" s="70"/>
      <c r="B1299" s="83"/>
      <c r="C1299" s="84"/>
      <c r="D1299" s="83"/>
      <c r="E1299" s="83"/>
    </row>
    <row r="1300" spans="1:5" ht="12.75">
      <c r="A1300" s="70"/>
      <c r="B1300" s="83"/>
      <c r="C1300" s="84"/>
      <c r="D1300" s="83"/>
      <c r="E1300" s="83"/>
    </row>
    <row r="1301" spans="1:5" ht="12.75">
      <c r="A1301" s="70"/>
      <c r="B1301" s="83"/>
      <c r="C1301" s="84"/>
      <c r="D1301" s="83"/>
      <c r="E1301" s="83"/>
    </row>
    <row r="1302" spans="1:5" ht="12.75">
      <c r="A1302" s="70"/>
      <c r="B1302" s="83"/>
      <c r="C1302" s="84"/>
      <c r="D1302" s="83"/>
      <c r="E1302" s="83"/>
    </row>
    <row r="1303" spans="1:5" ht="12.75">
      <c r="A1303" s="70"/>
      <c r="B1303" s="83"/>
      <c r="C1303" s="84"/>
      <c r="D1303" s="83"/>
      <c r="E1303" s="83"/>
    </row>
    <row r="1304" spans="1:5" ht="12.75">
      <c r="A1304" s="70"/>
      <c r="B1304" s="83"/>
      <c r="C1304" s="84"/>
      <c r="D1304" s="83"/>
      <c r="E1304" s="83"/>
    </row>
    <row r="1305" spans="1:5" ht="12.75">
      <c r="A1305" s="70"/>
      <c r="B1305" s="83"/>
      <c r="C1305" s="84"/>
      <c r="D1305" s="83"/>
      <c r="E1305" s="83"/>
    </row>
    <row r="1306" spans="1:5" ht="12.75">
      <c r="A1306" s="70"/>
      <c r="B1306" s="83"/>
      <c r="C1306" s="84"/>
      <c r="D1306" s="83"/>
      <c r="E1306" s="83"/>
    </row>
    <row r="1307" spans="1:5" ht="12.75">
      <c r="A1307" s="70"/>
      <c r="B1307" s="83"/>
      <c r="C1307" s="84"/>
      <c r="D1307" s="83"/>
      <c r="E1307" s="83"/>
    </row>
    <row r="1308" spans="1:5" ht="12.75">
      <c r="A1308" s="70"/>
      <c r="B1308" s="83"/>
      <c r="C1308" s="84"/>
      <c r="D1308" s="83"/>
      <c r="E1308" s="83"/>
    </row>
    <row r="1309" spans="1:5" ht="12.75">
      <c r="A1309" s="70"/>
      <c r="B1309" s="83"/>
      <c r="C1309" s="84"/>
      <c r="D1309" s="83"/>
      <c r="E1309" s="83"/>
    </row>
    <row r="1310" spans="1:5" ht="12.75">
      <c r="A1310" s="70"/>
      <c r="B1310" s="83"/>
      <c r="C1310" s="84"/>
      <c r="D1310" s="83"/>
      <c r="E1310" s="83"/>
    </row>
    <row r="1311" spans="1:5" ht="12.75">
      <c r="A1311" s="70"/>
      <c r="B1311" s="83"/>
      <c r="C1311" s="84"/>
      <c r="D1311" s="83"/>
      <c r="E1311" s="83"/>
    </row>
    <row r="1312" spans="1:5" ht="12.75">
      <c r="A1312" s="70"/>
      <c r="B1312" s="83"/>
      <c r="C1312" s="84"/>
      <c r="D1312" s="83"/>
      <c r="E1312" s="83"/>
    </row>
    <row r="1313" spans="1:5" ht="12.75">
      <c r="A1313" s="70"/>
      <c r="B1313" s="83"/>
      <c r="C1313" s="84"/>
      <c r="D1313" s="83"/>
      <c r="E1313" s="83"/>
    </row>
    <row r="1314" spans="1:5" ht="12.75">
      <c r="A1314" s="70"/>
      <c r="B1314" s="83"/>
      <c r="C1314" s="84"/>
      <c r="D1314" s="83"/>
      <c r="E1314" s="83"/>
    </row>
    <row r="1315" spans="1:5" ht="12.75">
      <c r="A1315" s="70"/>
      <c r="B1315" s="83"/>
      <c r="C1315" s="84"/>
      <c r="D1315" s="83"/>
      <c r="E1315" s="83"/>
    </row>
    <row r="1316" spans="1:5" ht="12.75">
      <c r="A1316" s="70"/>
      <c r="B1316" s="83"/>
      <c r="C1316" s="84"/>
      <c r="D1316" s="83"/>
      <c r="E1316" s="83"/>
    </row>
    <row r="1317" spans="1:5" ht="12.75">
      <c r="A1317" s="70"/>
      <c r="B1317" s="83"/>
      <c r="C1317" s="84"/>
      <c r="D1317" s="83"/>
      <c r="E1317" s="83"/>
    </row>
    <row r="1318" spans="1:5" ht="12.75">
      <c r="A1318" s="70"/>
      <c r="B1318" s="83"/>
      <c r="C1318" s="84"/>
      <c r="D1318" s="83"/>
      <c r="E1318" s="83"/>
    </row>
    <row r="1319" spans="1:5" ht="12.75">
      <c r="A1319" s="70"/>
      <c r="B1319" s="83"/>
      <c r="C1319" s="84"/>
      <c r="D1319" s="83"/>
      <c r="E1319" s="83"/>
    </row>
    <row r="1320" spans="1:5" ht="12.75">
      <c r="A1320" s="70"/>
      <c r="B1320" s="83"/>
      <c r="C1320" s="84"/>
      <c r="D1320" s="83"/>
      <c r="E1320" s="83"/>
    </row>
    <row r="1321" spans="1:5" ht="12.75">
      <c r="A1321" s="70"/>
      <c r="B1321" s="83"/>
      <c r="C1321" s="84"/>
      <c r="D1321" s="83"/>
      <c r="E1321" s="83"/>
    </row>
    <row r="1322" spans="1:5" ht="12.75">
      <c r="A1322" s="70"/>
      <c r="B1322" s="83"/>
      <c r="C1322" s="84"/>
      <c r="D1322" s="83"/>
      <c r="E1322" s="83"/>
    </row>
    <row r="1323" spans="1:5" ht="12.75">
      <c r="A1323" s="70"/>
      <c r="B1323" s="83"/>
      <c r="C1323" s="84"/>
      <c r="D1323" s="83"/>
      <c r="E1323" s="83"/>
    </row>
    <row r="1324" spans="1:5" ht="12.75">
      <c r="A1324" s="70"/>
      <c r="B1324" s="83"/>
      <c r="C1324" s="84"/>
      <c r="D1324" s="83"/>
      <c r="E1324" s="83"/>
    </row>
    <row r="1325" spans="1:5" ht="12.75">
      <c r="A1325" s="70"/>
      <c r="B1325" s="83"/>
      <c r="C1325" s="84"/>
      <c r="D1325" s="83"/>
      <c r="E1325" s="83"/>
    </row>
    <row r="1326" spans="1:5" ht="12.75">
      <c r="A1326" s="70"/>
      <c r="B1326" s="83"/>
      <c r="C1326" s="84"/>
      <c r="D1326" s="83"/>
      <c r="E1326" s="83"/>
    </row>
    <row r="1327" spans="1:5" ht="12.75">
      <c r="A1327" s="70"/>
      <c r="B1327" s="83"/>
      <c r="C1327" s="84"/>
      <c r="D1327" s="83"/>
      <c r="E1327" s="83"/>
    </row>
    <row r="1328" spans="1:5" ht="12.75">
      <c r="A1328" s="70"/>
      <c r="B1328" s="83"/>
      <c r="C1328" s="84"/>
      <c r="D1328" s="83"/>
      <c r="E1328" s="83"/>
    </row>
    <row r="1329" spans="1:5" ht="12.75">
      <c r="A1329" s="70"/>
      <c r="B1329" s="83"/>
      <c r="C1329" s="84"/>
      <c r="D1329" s="83"/>
      <c r="E1329" s="83"/>
    </row>
    <row r="1330" spans="1:5" ht="12.75">
      <c r="A1330" s="70"/>
      <c r="B1330" s="83"/>
      <c r="C1330" s="84"/>
      <c r="D1330" s="83"/>
      <c r="E1330" s="83"/>
    </row>
    <row r="1331" spans="1:5" ht="12.75">
      <c r="A1331" s="70"/>
      <c r="B1331" s="83"/>
      <c r="C1331" s="84"/>
      <c r="D1331" s="83"/>
      <c r="E1331" s="83"/>
    </row>
    <row r="1332" spans="1:5" ht="12.75">
      <c r="A1332" s="70"/>
      <c r="B1332" s="83"/>
      <c r="C1332" s="84"/>
      <c r="D1332" s="83"/>
      <c r="E1332" s="83"/>
    </row>
    <row r="1333" spans="1:5" ht="12.75">
      <c r="A1333" s="70"/>
      <c r="B1333" s="83"/>
      <c r="C1333" s="84"/>
      <c r="D1333" s="83"/>
      <c r="E1333" s="83"/>
    </row>
    <row r="1334" spans="1:5" ht="12.75">
      <c r="A1334" s="70"/>
      <c r="B1334" s="83"/>
      <c r="C1334" s="84"/>
      <c r="D1334" s="83"/>
      <c r="E1334" s="83"/>
    </row>
    <row r="1335" spans="1:5" ht="12.75">
      <c r="A1335" s="70"/>
      <c r="B1335" s="83"/>
      <c r="C1335" s="84"/>
      <c r="D1335" s="83"/>
      <c r="E1335" s="83"/>
    </row>
    <row r="1336" spans="1:5" ht="12.75">
      <c r="A1336" s="70"/>
      <c r="B1336" s="83"/>
      <c r="C1336" s="84"/>
      <c r="D1336" s="83"/>
      <c r="E1336" s="83"/>
    </row>
    <row r="1337" spans="1:5" ht="12.75">
      <c r="A1337" s="70"/>
      <c r="B1337" s="83"/>
      <c r="C1337" s="84"/>
      <c r="D1337" s="83"/>
      <c r="E1337" s="83"/>
    </row>
    <row r="1338" spans="1:5" ht="12.75">
      <c r="A1338" s="70"/>
      <c r="B1338" s="83"/>
      <c r="C1338" s="84"/>
      <c r="D1338" s="83"/>
      <c r="E1338" s="83"/>
    </row>
    <row r="1339" spans="1:5" ht="12.75">
      <c r="A1339" s="70"/>
      <c r="B1339" s="83"/>
      <c r="C1339" s="84"/>
      <c r="D1339" s="83"/>
      <c r="E1339" s="83"/>
    </row>
    <row r="1340" spans="1:5" ht="12.75">
      <c r="A1340" s="70"/>
      <c r="B1340" s="83"/>
      <c r="C1340" s="84"/>
      <c r="D1340" s="83"/>
      <c r="E1340" s="83"/>
    </row>
    <row r="1341" spans="1:5" ht="12.75">
      <c r="A1341" s="70"/>
      <c r="B1341" s="83"/>
      <c r="C1341" s="84"/>
      <c r="D1341" s="83"/>
      <c r="E1341" s="83"/>
    </row>
    <row r="1342" spans="1:5" ht="12.75">
      <c r="A1342" s="70"/>
      <c r="B1342" s="83"/>
      <c r="C1342" s="84"/>
      <c r="D1342" s="83"/>
      <c r="E1342" s="83"/>
    </row>
    <row r="1343" spans="1:5" ht="12.75">
      <c r="A1343" s="70"/>
      <c r="B1343" s="83"/>
      <c r="C1343" s="84"/>
      <c r="D1343" s="83"/>
      <c r="E1343" s="83"/>
    </row>
    <row r="1344" spans="1:5" ht="12.75">
      <c r="A1344" s="70"/>
      <c r="B1344" s="83"/>
      <c r="C1344" s="84"/>
      <c r="D1344" s="83"/>
      <c r="E1344" s="83"/>
    </row>
    <row r="1345" spans="1:5" ht="12.75">
      <c r="A1345" s="70"/>
      <c r="B1345" s="83"/>
      <c r="C1345" s="84"/>
      <c r="D1345" s="83"/>
      <c r="E1345" s="83"/>
    </row>
    <row r="1346" spans="1:5" ht="12.75">
      <c r="A1346" s="70"/>
      <c r="B1346" s="83"/>
      <c r="C1346" s="84"/>
      <c r="D1346" s="83"/>
      <c r="E1346" s="83"/>
    </row>
    <row r="1347" spans="1:5" ht="12.75">
      <c r="A1347" s="70"/>
      <c r="B1347" s="83"/>
      <c r="C1347" s="84"/>
      <c r="D1347" s="83"/>
      <c r="E1347" s="83"/>
    </row>
    <row r="1348" spans="1:5" ht="12.75">
      <c r="A1348" s="70"/>
      <c r="B1348" s="83"/>
      <c r="C1348" s="84"/>
      <c r="D1348" s="83"/>
      <c r="E1348" s="83"/>
    </row>
    <row r="1349" spans="1:5" ht="12.75">
      <c r="A1349" s="70"/>
      <c r="B1349" s="83"/>
      <c r="C1349" s="84"/>
      <c r="D1349" s="83"/>
      <c r="E1349" s="83"/>
    </row>
    <row r="1350" spans="1:5" ht="12.75">
      <c r="A1350" s="70"/>
      <c r="B1350" s="83"/>
      <c r="C1350" s="84"/>
      <c r="D1350" s="83"/>
      <c r="E1350" s="83"/>
    </row>
    <row r="1351" spans="1:5" ht="12.75">
      <c r="A1351" s="70"/>
      <c r="B1351" s="83"/>
      <c r="C1351" s="84"/>
      <c r="D1351" s="83"/>
      <c r="E1351" s="83"/>
    </row>
    <row r="1352" spans="1:5" ht="12.75">
      <c r="A1352" s="70"/>
      <c r="B1352" s="83"/>
      <c r="C1352" s="84"/>
      <c r="D1352" s="83"/>
      <c r="E1352" s="83"/>
    </row>
    <row r="1353" spans="1:5" ht="12.75">
      <c r="A1353" s="70"/>
      <c r="B1353" s="83"/>
      <c r="C1353" s="84"/>
      <c r="D1353" s="83"/>
      <c r="E1353" s="83"/>
    </row>
    <row r="1354" spans="1:5" ht="12.75">
      <c r="A1354" s="70"/>
      <c r="B1354" s="83"/>
      <c r="C1354" s="84"/>
      <c r="D1354" s="83"/>
      <c r="E1354" s="83"/>
    </row>
    <row r="1355" spans="1:5" ht="12.75">
      <c r="A1355" s="70"/>
      <c r="B1355" s="83"/>
      <c r="C1355" s="84"/>
      <c r="D1355" s="83"/>
      <c r="E1355" s="83"/>
    </row>
    <row r="1356" spans="1:5" ht="12.75">
      <c r="A1356" s="70"/>
      <c r="B1356" s="83"/>
      <c r="C1356" s="84"/>
      <c r="D1356" s="83"/>
      <c r="E1356" s="83"/>
    </row>
    <row r="1357" spans="1:5" ht="12.75">
      <c r="A1357" s="70"/>
      <c r="B1357" s="83"/>
      <c r="C1357" s="84"/>
      <c r="D1357" s="83"/>
      <c r="E1357" s="83"/>
    </row>
    <row r="1358" spans="1:5" ht="12.75">
      <c r="A1358" s="70"/>
      <c r="B1358" s="83"/>
      <c r="C1358" s="84"/>
      <c r="D1358" s="83"/>
      <c r="E1358" s="83"/>
    </row>
    <row r="1359" spans="1:5" ht="12.75">
      <c r="A1359" s="70"/>
      <c r="B1359" s="83"/>
      <c r="C1359" s="84"/>
      <c r="D1359" s="83"/>
      <c r="E1359" s="83"/>
    </row>
    <row r="1360" spans="1:5" ht="12.75">
      <c r="A1360" s="70"/>
      <c r="B1360" s="83"/>
      <c r="C1360" s="84"/>
      <c r="D1360" s="83"/>
      <c r="E1360" s="83"/>
    </row>
    <row r="1361" spans="1:5" ht="12.75">
      <c r="A1361" s="70"/>
      <c r="B1361" s="83"/>
      <c r="C1361" s="84"/>
      <c r="D1361" s="83"/>
      <c r="E1361" s="83"/>
    </row>
    <row r="1362" spans="1:5" ht="12.75">
      <c r="A1362" s="70"/>
      <c r="B1362" s="83"/>
      <c r="C1362" s="84"/>
      <c r="D1362" s="83"/>
      <c r="E1362" s="83"/>
    </row>
    <row r="1363" spans="1:5" ht="12.75">
      <c r="A1363" s="70"/>
      <c r="B1363" s="83"/>
      <c r="C1363" s="84"/>
      <c r="D1363" s="83"/>
      <c r="E1363" s="83"/>
    </row>
    <row r="1364" spans="1:5" ht="12.75">
      <c r="A1364" s="70"/>
      <c r="B1364" s="83"/>
      <c r="C1364" s="84"/>
      <c r="D1364" s="83"/>
      <c r="E1364" s="83"/>
    </row>
    <row r="1365" spans="1:5" ht="12.75">
      <c r="A1365" s="70"/>
      <c r="B1365" s="83"/>
      <c r="C1365" s="84"/>
      <c r="D1365" s="83"/>
      <c r="E1365" s="83"/>
    </row>
    <row r="1366" spans="1:5" ht="12.75">
      <c r="A1366" s="70"/>
      <c r="B1366" s="83"/>
      <c r="C1366" s="84"/>
      <c r="D1366" s="83"/>
      <c r="E1366" s="83"/>
    </row>
    <row r="1367" spans="1:5" ht="12.75">
      <c r="A1367" s="70"/>
      <c r="B1367" s="83"/>
      <c r="C1367" s="84"/>
      <c r="D1367" s="83"/>
      <c r="E1367" s="83"/>
    </row>
    <row r="1368" spans="1:5" ht="12.75">
      <c r="A1368" s="70"/>
      <c r="B1368" s="83"/>
      <c r="C1368" s="84"/>
      <c r="D1368" s="83"/>
      <c r="E1368" s="83"/>
    </row>
    <row r="1369" spans="1:5" ht="12.75">
      <c r="A1369" s="70"/>
      <c r="B1369" s="83"/>
      <c r="C1369" s="84"/>
      <c r="D1369" s="83"/>
      <c r="E1369" s="83"/>
    </row>
    <row r="1370" spans="1:5" ht="12.75">
      <c r="A1370" s="70"/>
      <c r="B1370" s="83"/>
      <c r="C1370" s="84"/>
      <c r="D1370" s="83"/>
      <c r="E1370" s="83"/>
    </row>
    <row r="1371" spans="1:5" ht="12.75">
      <c r="A1371" s="70"/>
      <c r="B1371" s="83"/>
      <c r="C1371" s="84"/>
      <c r="D1371" s="83"/>
      <c r="E1371" s="83"/>
    </row>
    <row r="1372" spans="1:5" ht="12.75">
      <c r="A1372" s="70"/>
      <c r="B1372" s="83"/>
      <c r="C1372" s="84"/>
      <c r="D1372" s="83"/>
      <c r="E1372" s="83"/>
    </row>
    <row r="1373" spans="1:5" ht="12.75">
      <c r="A1373" s="70"/>
      <c r="B1373" s="83"/>
      <c r="C1373" s="84"/>
      <c r="D1373" s="83"/>
      <c r="E1373" s="83"/>
    </row>
    <row r="1374" spans="1:5" ht="12.75">
      <c r="A1374" s="70"/>
      <c r="B1374" s="83"/>
      <c r="C1374" s="84"/>
      <c r="D1374" s="83"/>
      <c r="E1374" s="83"/>
    </row>
    <row r="1375" spans="1:5" ht="12.75">
      <c r="A1375" s="70"/>
      <c r="B1375" s="83"/>
      <c r="C1375" s="84"/>
      <c r="D1375" s="83"/>
      <c r="E1375" s="83"/>
    </row>
    <row r="1376" spans="1:5" ht="12.75">
      <c r="A1376" s="70"/>
      <c r="B1376" s="83"/>
      <c r="C1376" s="84"/>
      <c r="D1376" s="83"/>
      <c r="E1376" s="83"/>
    </row>
    <row r="1377" spans="1:5" ht="12.75">
      <c r="A1377" s="70"/>
      <c r="B1377" s="83"/>
      <c r="C1377" s="84"/>
      <c r="D1377" s="83"/>
      <c r="E1377" s="83"/>
    </row>
    <row r="1378" spans="1:5" ht="12.75">
      <c r="A1378" s="70"/>
      <c r="B1378" s="83"/>
      <c r="C1378" s="84"/>
      <c r="D1378" s="83"/>
      <c r="E1378" s="83"/>
    </row>
    <row r="1379" spans="1:5" ht="12.75">
      <c r="A1379" s="70"/>
      <c r="B1379" s="83"/>
      <c r="C1379" s="84"/>
      <c r="D1379" s="83"/>
      <c r="E1379" s="83"/>
    </row>
    <row r="1380" spans="1:5" ht="12.75">
      <c r="A1380" s="70"/>
      <c r="B1380" s="83"/>
      <c r="C1380" s="84"/>
      <c r="D1380" s="83"/>
      <c r="E1380" s="83"/>
    </row>
    <row r="1381" spans="1:5" ht="12.75">
      <c r="A1381" s="70"/>
      <c r="B1381" s="83"/>
      <c r="C1381" s="84"/>
      <c r="D1381" s="83"/>
      <c r="E1381" s="83"/>
    </row>
    <row r="1382" spans="1:5" ht="12.75">
      <c r="A1382" s="70"/>
      <c r="B1382" s="83"/>
      <c r="C1382" s="84"/>
      <c r="D1382" s="83"/>
      <c r="E1382" s="83"/>
    </row>
    <row r="1383" spans="1:5" ht="12.75">
      <c r="A1383" s="70"/>
      <c r="B1383" s="83"/>
      <c r="C1383" s="84"/>
      <c r="D1383" s="83"/>
      <c r="E1383" s="83"/>
    </row>
    <row r="1384" spans="1:5" ht="12.75">
      <c r="A1384" s="70"/>
      <c r="B1384" s="83"/>
      <c r="C1384" s="84"/>
      <c r="D1384" s="83"/>
      <c r="E1384" s="83"/>
    </row>
    <row r="1385" spans="1:5" ht="12.75">
      <c r="A1385" s="70"/>
      <c r="B1385" s="83"/>
      <c r="C1385" s="84"/>
      <c r="D1385" s="83"/>
      <c r="E1385" s="83"/>
    </row>
    <row r="1386" spans="1:5" ht="12.75">
      <c r="A1386" s="70"/>
      <c r="B1386" s="83"/>
      <c r="C1386" s="84"/>
      <c r="D1386" s="83"/>
      <c r="E1386" s="83"/>
    </row>
    <row r="1387" spans="1:5" ht="12.75">
      <c r="A1387" s="70"/>
      <c r="B1387" s="83"/>
      <c r="C1387" s="84"/>
      <c r="D1387" s="83"/>
      <c r="E1387" s="83"/>
    </row>
    <row r="1388" spans="1:5" ht="12.75">
      <c r="A1388" s="70"/>
      <c r="B1388" s="83"/>
      <c r="C1388" s="84"/>
      <c r="D1388" s="83"/>
      <c r="E1388" s="83"/>
    </row>
    <row r="1389" spans="1:5" ht="12.75">
      <c r="A1389" s="70"/>
      <c r="B1389" s="83"/>
      <c r="C1389" s="84"/>
      <c r="D1389" s="83"/>
      <c r="E1389" s="83"/>
    </row>
    <row r="1390" spans="1:5" ht="12.75">
      <c r="A1390" s="70"/>
      <c r="B1390" s="83"/>
      <c r="C1390" s="84"/>
      <c r="D1390" s="83"/>
      <c r="E1390" s="83"/>
    </row>
    <row r="1391" spans="1:5" ht="12.75">
      <c r="A1391" s="70"/>
      <c r="B1391" s="83"/>
      <c r="C1391" s="84"/>
      <c r="D1391" s="83"/>
      <c r="E1391" s="83"/>
    </row>
    <row r="1392" spans="1:5" ht="12.75">
      <c r="A1392" s="70"/>
      <c r="B1392" s="83"/>
      <c r="C1392" s="84"/>
      <c r="D1392" s="83"/>
      <c r="E1392" s="83"/>
    </row>
    <row r="1393" spans="1:5" ht="12.75">
      <c r="A1393" s="70"/>
      <c r="B1393" s="83"/>
      <c r="C1393" s="84"/>
      <c r="D1393" s="83"/>
      <c r="E1393" s="83"/>
    </row>
    <row r="1394" spans="1:5" ht="12.75">
      <c r="A1394" s="70"/>
      <c r="B1394" s="83"/>
      <c r="C1394" s="84"/>
      <c r="D1394" s="83"/>
      <c r="E1394" s="83"/>
    </row>
    <row r="1395" spans="1:5" ht="12.75">
      <c r="A1395" s="70"/>
      <c r="B1395" s="83"/>
      <c r="C1395" s="84"/>
      <c r="D1395" s="83"/>
      <c r="E1395" s="83"/>
    </row>
    <row r="1396" spans="1:5" ht="12.75">
      <c r="A1396" s="70"/>
      <c r="B1396" s="83"/>
      <c r="C1396" s="84"/>
      <c r="D1396" s="83"/>
      <c r="E1396" s="83"/>
    </row>
    <row r="1397" spans="1:5" ht="12.75">
      <c r="A1397" s="70"/>
      <c r="B1397" s="83"/>
      <c r="C1397" s="84"/>
      <c r="D1397" s="83"/>
      <c r="E1397" s="83"/>
    </row>
    <row r="1398" spans="1:5" ht="12.75">
      <c r="A1398" s="70"/>
      <c r="B1398" s="83"/>
      <c r="C1398" s="84"/>
      <c r="D1398" s="83"/>
      <c r="E1398" s="83"/>
    </row>
    <row r="1399" spans="1:5" ht="12.75">
      <c r="A1399" s="70"/>
      <c r="B1399" s="83"/>
      <c r="C1399" s="84"/>
      <c r="D1399" s="83"/>
      <c r="E1399" s="83"/>
    </row>
    <row r="1400" spans="1:5" ht="12.75">
      <c r="A1400" s="70"/>
      <c r="B1400" s="83"/>
      <c r="C1400" s="84"/>
      <c r="D1400" s="83"/>
      <c r="E1400" s="83"/>
    </row>
    <row r="1401" spans="1:5" ht="12.75">
      <c r="A1401" s="70"/>
      <c r="B1401" s="83"/>
      <c r="C1401" s="84"/>
      <c r="D1401" s="83"/>
      <c r="E1401" s="83"/>
    </row>
    <row r="1402" spans="1:5" ht="12.75">
      <c r="A1402" s="70"/>
      <c r="B1402" s="83"/>
      <c r="C1402" s="84"/>
      <c r="D1402" s="83"/>
      <c r="E1402" s="83"/>
    </row>
    <row r="1403" spans="1:5" ht="12.75">
      <c r="A1403" s="70"/>
      <c r="B1403" s="83"/>
      <c r="C1403" s="84"/>
      <c r="D1403" s="83"/>
      <c r="E1403" s="83"/>
    </row>
    <row r="1404" spans="1:5" ht="12.75">
      <c r="A1404" s="70"/>
      <c r="B1404" s="83"/>
      <c r="C1404" s="84"/>
      <c r="D1404" s="83"/>
      <c r="E1404" s="83"/>
    </row>
    <row r="1405" spans="1:5" ht="12.75">
      <c r="A1405" s="70"/>
      <c r="B1405" s="83"/>
      <c r="C1405" s="84"/>
      <c r="D1405" s="83"/>
      <c r="E1405" s="83"/>
    </row>
    <row r="1406" spans="1:5" ht="12.75">
      <c r="A1406" s="70"/>
      <c r="B1406" s="83"/>
      <c r="C1406" s="84"/>
      <c r="D1406" s="83"/>
      <c r="E1406" s="83"/>
    </row>
    <row r="1407" spans="1:5" ht="12.75">
      <c r="A1407" s="70"/>
      <c r="B1407" s="83"/>
      <c r="C1407" s="84"/>
      <c r="D1407" s="83"/>
      <c r="E1407" s="83"/>
    </row>
    <row r="1408" spans="1:5" ht="12.75">
      <c r="A1408" s="70"/>
      <c r="B1408" s="83"/>
      <c r="C1408" s="84"/>
      <c r="D1408" s="83"/>
      <c r="E1408" s="83"/>
    </row>
    <row r="1409" spans="1:5" ht="12.75">
      <c r="A1409" s="70"/>
      <c r="B1409" s="83"/>
      <c r="C1409" s="84"/>
      <c r="D1409" s="83"/>
      <c r="E1409" s="83"/>
    </row>
    <row r="1410" spans="1:5" ht="12.75">
      <c r="A1410" s="70"/>
      <c r="B1410" s="83"/>
      <c r="C1410" s="84"/>
      <c r="D1410" s="83"/>
      <c r="E1410" s="83"/>
    </row>
    <row r="1411" spans="1:5" ht="12.75">
      <c r="A1411" s="70"/>
      <c r="B1411" s="83"/>
      <c r="C1411" s="84"/>
      <c r="D1411" s="83"/>
      <c r="E1411" s="83"/>
    </row>
    <row r="1412" spans="1:5" ht="12.75">
      <c r="A1412" s="70"/>
      <c r="B1412" s="83"/>
      <c r="C1412" s="84"/>
      <c r="D1412" s="83"/>
      <c r="E1412" s="83"/>
    </row>
    <row r="1413" spans="1:5" ht="12.75">
      <c r="A1413" s="70"/>
      <c r="B1413" s="83"/>
      <c r="C1413" s="84"/>
      <c r="D1413" s="83"/>
      <c r="E1413" s="83"/>
    </row>
    <row r="1414" spans="1:5" ht="12.75">
      <c r="A1414" s="70"/>
      <c r="B1414" s="83"/>
      <c r="C1414" s="84"/>
      <c r="D1414" s="83"/>
      <c r="E1414" s="83"/>
    </row>
    <row r="1415" spans="1:5" ht="12.75">
      <c r="A1415" s="70"/>
      <c r="B1415" s="83"/>
      <c r="C1415" s="84"/>
      <c r="D1415" s="83"/>
      <c r="E1415" s="83"/>
    </row>
    <row r="1416" spans="1:5" ht="12.75">
      <c r="A1416" s="70"/>
      <c r="B1416" s="83"/>
      <c r="C1416" s="84"/>
      <c r="D1416" s="83"/>
      <c r="E1416" s="83"/>
    </row>
    <row r="1417" spans="1:5" ht="12.75">
      <c r="A1417" s="70"/>
      <c r="B1417" s="83"/>
      <c r="C1417" s="84"/>
      <c r="D1417" s="83"/>
      <c r="E1417" s="83"/>
    </row>
    <row r="1418" spans="1:5" ht="12.75">
      <c r="A1418" s="70"/>
      <c r="B1418" s="83"/>
      <c r="C1418" s="84"/>
      <c r="D1418" s="83"/>
      <c r="E1418" s="83"/>
    </row>
    <row r="1419" spans="1:5" ht="12.75">
      <c r="A1419" s="70"/>
      <c r="B1419" s="83"/>
      <c r="C1419" s="84"/>
      <c r="D1419" s="83"/>
      <c r="E1419" s="83"/>
    </row>
    <row r="1420" spans="1:5" ht="12.75">
      <c r="A1420" s="70"/>
      <c r="B1420" s="83"/>
      <c r="C1420" s="84"/>
      <c r="D1420" s="83"/>
      <c r="E1420" s="83"/>
    </row>
    <row r="1421" spans="1:5" ht="12.75">
      <c r="A1421" s="70"/>
      <c r="B1421" s="83"/>
      <c r="C1421" s="84"/>
      <c r="D1421" s="83"/>
      <c r="E1421" s="83"/>
    </row>
    <row r="1422" spans="1:5" ht="12.75">
      <c r="A1422" s="70"/>
      <c r="B1422" s="83"/>
      <c r="C1422" s="84"/>
      <c r="D1422" s="83"/>
      <c r="E1422" s="83"/>
    </row>
    <row r="1423" spans="1:5" ht="12.75">
      <c r="A1423" s="70"/>
      <c r="B1423" s="83"/>
      <c r="C1423" s="84"/>
      <c r="D1423" s="83"/>
      <c r="E1423" s="83"/>
    </row>
    <row r="1424" spans="1:5" ht="12.75">
      <c r="A1424" s="70"/>
      <c r="B1424" s="83"/>
      <c r="C1424" s="84"/>
      <c r="D1424" s="83"/>
      <c r="E1424" s="83"/>
    </row>
    <row r="1425" spans="1:5" ht="12.75">
      <c r="A1425" s="70"/>
      <c r="B1425" s="83"/>
      <c r="C1425" s="84"/>
      <c r="D1425" s="83"/>
      <c r="E1425" s="83"/>
    </row>
    <row r="1426" spans="1:5" ht="12.75">
      <c r="A1426" s="70"/>
      <c r="B1426" s="83"/>
      <c r="C1426" s="84"/>
      <c r="D1426" s="83"/>
      <c r="E1426" s="83"/>
    </row>
    <row r="1427" spans="1:5" ht="12.75">
      <c r="A1427" s="70"/>
      <c r="B1427" s="83"/>
      <c r="C1427" s="84"/>
      <c r="D1427" s="83"/>
      <c r="E1427" s="83"/>
    </row>
    <row r="1428" spans="1:5" ht="12.75">
      <c r="A1428" s="70"/>
      <c r="B1428" s="83"/>
      <c r="C1428" s="84"/>
      <c r="D1428" s="83"/>
      <c r="E1428" s="83"/>
    </row>
    <row r="1429" spans="1:5" ht="12.75">
      <c r="A1429" s="70"/>
      <c r="B1429" s="83"/>
      <c r="C1429" s="84"/>
      <c r="D1429" s="83"/>
      <c r="E1429" s="83"/>
    </row>
    <row r="1430" spans="1:5" ht="12.75">
      <c r="A1430" s="70"/>
      <c r="B1430" s="83"/>
      <c r="C1430" s="84"/>
      <c r="D1430" s="83"/>
      <c r="E1430" s="83"/>
    </row>
    <row r="1431" spans="1:5" ht="12.75">
      <c r="A1431" s="70"/>
      <c r="B1431" s="83"/>
      <c r="C1431" s="84"/>
      <c r="D1431" s="83"/>
      <c r="E1431" s="83"/>
    </row>
    <row r="1432" spans="1:5" ht="12.75">
      <c r="A1432" s="70"/>
      <c r="B1432" s="83"/>
      <c r="C1432" s="84"/>
      <c r="D1432" s="83"/>
      <c r="E1432" s="83"/>
    </row>
    <row r="1433" spans="1:5" ht="12.75">
      <c r="A1433" s="70"/>
      <c r="B1433" s="83"/>
      <c r="C1433" s="84"/>
      <c r="D1433" s="83"/>
      <c r="E1433" s="83"/>
    </row>
    <row r="1434" spans="1:5" ht="12.75">
      <c r="A1434" s="70"/>
      <c r="B1434" s="83"/>
      <c r="C1434" s="84"/>
      <c r="D1434" s="83"/>
      <c r="E1434" s="83"/>
    </row>
    <row r="1435" spans="1:5" ht="12.75">
      <c r="A1435" s="70"/>
      <c r="B1435" s="83"/>
      <c r="C1435" s="84"/>
      <c r="D1435" s="83"/>
      <c r="E1435" s="83"/>
    </row>
    <row r="1436" spans="1:5" ht="12.75">
      <c r="A1436" s="70"/>
      <c r="B1436" s="83"/>
      <c r="C1436" s="84"/>
      <c r="D1436" s="83"/>
      <c r="E1436" s="83"/>
    </row>
    <row r="1437" spans="1:5" ht="12.75">
      <c r="A1437" s="70"/>
      <c r="B1437" s="83"/>
      <c r="C1437" s="84"/>
      <c r="D1437" s="83"/>
      <c r="E1437" s="83"/>
    </row>
    <row r="1438" spans="1:5" ht="12.75">
      <c r="A1438" s="70"/>
      <c r="B1438" s="83"/>
      <c r="C1438" s="84"/>
      <c r="D1438" s="83"/>
      <c r="E1438" s="83"/>
    </row>
    <row r="1439" spans="1:5" ht="12.75">
      <c r="A1439" s="70"/>
      <c r="B1439" s="83"/>
      <c r="C1439" s="84"/>
      <c r="D1439" s="83"/>
      <c r="E1439" s="83"/>
    </row>
    <row r="1440" spans="1:5" ht="12.75">
      <c r="A1440" s="70"/>
      <c r="B1440" s="83"/>
      <c r="C1440" s="84"/>
      <c r="D1440" s="83"/>
      <c r="E1440" s="83"/>
    </row>
    <row r="1441" spans="1:5" ht="12.75">
      <c r="A1441" s="70"/>
      <c r="B1441" s="83"/>
      <c r="C1441" s="84"/>
      <c r="D1441" s="83"/>
      <c r="E1441" s="83"/>
    </row>
    <row r="1442" spans="1:5" ht="12.75">
      <c r="A1442" s="70"/>
      <c r="B1442" s="83"/>
      <c r="C1442" s="84"/>
      <c r="D1442" s="83"/>
      <c r="E1442" s="83"/>
    </row>
    <row r="1443" spans="1:5" ht="12.75">
      <c r="A1443" s="70"/>
      <c r="B1443" s="83"/>
      <c r="C1443" s="84"/>
      <c r="D1443" s="83"/>
      <c r="E1443" s="83"/>
    </row>
    <row r="1444" spans="1:5" ht="12.75">
      <c r="A1444" s="70"/>
      <c r="B1444" s="83"/>
      <c r="C1444" s="84"/>
      <c r="D1444" s="83"/>
      <c r="E1444" s="83"/>
    </row>
    <row r="1445" spans="1:5" ht="12.75">
      <c r="A1445" s="70"/>
      <c r="B1445" s="83"/>
      <c r="C1445" s="84"/>
      <c r="D1445" s="83"/>
      <c r="E1445" s="83"/>
    </row>
    <row r="1446" spans="1:5" ht="12.75">
      <c r="A1446" s="70"/>
      <c r="B1446" s="83"/>
      <c r="C1446" s="84"/>
      <c r="D1446" s="83"/>
      <c r="E1446" s="83"/>
    </row>
    <row r="1447" spans="1:5" ht="12.75">
      <c r="A1447" s="70"/>
      <c r="B1447" s="83"/>
      <c r="C1447" s="84"/>
      <c r="D1447" s="83"/>
      <c r="E1447" s="83"/>
    </row>
    <row r="1448" spans="1:5" ht="12.75">
      <c r="A1448" s="70"/>
      <c r="B1448" s="83"/>
      <c r="C1448" s="84"/>
      <c r="D1448" s="83"/>
      <c r="E1448" s="83"/>
    </row>
    <row r="1449" spans="1:5" ht="12.75">
      <c r="A1449" s="70"/>
      <c r="B1449" s="83"/>
      <c r="C1449" s="84"/>
      <c r="D1449" s="83"/>
      <c r="E1449" s="83"/>
    </row>
    <row r="1450" spans="1:5" ht="12.75">
      <c r="A1450" s="70"/>
      <c r="B1450" s="83"/>
      <c r="C1450" s="84"/>
      <c r="D1450" s="83"/>
      <c r="E1450" s="83"/>
    </row>
    <row r="1451" spans="1:5" ht="12.75">
      <c r="A1451" s="70"/>
      <c r="B1451" s="83"/>
      <c r="C1451" s="84"/>
      <c r="D1451" s="83"/>
      <c r="E1451" s="83"/>
    </row>
    <row r="1452" spans="1:5" ht="12.75">
      <c r="A1452" s="70"/>
      <c r="B1452" s="83"/>
      <c r="C1452" s="84"/>
      <c r="D1452" s="83"/>
      <c r="E1452" s="83"/>
    </row>
    <row r="1453" spans="1:5" ht="12.75">
      <c r="A1453" s="70"/>
      <c r="B1453" s="83"/>
      <c r="C1453" s="84"/>
      <c r="D1453" s="83"/>
      <c r="E1453" s="83"/>
    </row>
    <row r="1454" spans="1:5" ht="12.75">
      <c r="A1454" s="70"/>
      <c r="B1454" s="83"/>
      <c r="C1454" s="84"/>
      <c r="D1454" s="83"/>
      <c r="E1454" s="83"/>
    </row>
    <row r="1455" spans="1:5" ht="12.75">
      <c r="A1455" s="70"/>
      <c r="B1455" s="83"/>
      <c r="C1455" s="84"/>
      <c r="D1455" s="83"/>
      <c r="E1455" s="83"/>
    </row>
    <row r="1456" spans="1:5" ht="12.75">
      <c r="A1456" s="70"/>
      <c r="B1456" s="83"/>
      <c r="C1456" s="84"/>
      <c r="D1456" s="83"/>
      <c r="E1456" s="83"/>
    </row>
    <row r="1457" spans="1:5" ht="12.75">
      <c r="A1457" s="70"/>
      <c r="B1457" s="83"/>
      <c r="C1457" s="84"/>
      <c r="D1457" s="83"/>
      <c r="E1457" s="83"/>
    </row>
    <row r="1458" spans="1:5" ht="12.75">
      <c r="A1458" s="70"/>
      <c r="B1458" s="83"/>
      <c r="C1458" s="84"/>
      <c r="D1458" s="83"/>
      <c r="E1458" s="83"/>
    </row>
    <row r="1459" spans="1:5" ht="12.75">
      <c r="A1459" s="70"/>
      <c r="B1459" s="83"/>
      <c r="C1459" s="84"/>
      <c r="D1459" s="83"/>
      <c r="E1459" s="83"/>
    </row>
    <row r="1460" spans="1:5" ht="12.75">
      <c r="A1460" s="70"/>
      <c r="B1460" s="83"/>
      <c r="C1460" s="84"/>
      <c r="D1460" s="83"/>
      <c r="E1460" s="83"/>
    </row>
    <row r="1461" spans="1:5" ht="12.75">
      <c r="A1461" s="70"/>
      <c r="B1461" s="83"/>
      <c r="C1461" s="84"/>
      <c r="D1461" s="83"/>
      <c r="E1461" s="83"/>
    </row>
    <row r="1462" spans="1:5" ht="12.75">
      <c r="A1462" s="70"/>
      <c r="B1462" s="83"/>
      <c r="C1462" s="84"/>
      <c r="D1462" s="83"/>
      <c r="E1462" s="83"/>
    </row>
    <row r="1463" spans="1:5" ht="12.75">
      <c r="A1463" s="70"/>
      <c r="B1463" s="83"/>
      <c r="C1463" s="84"/>
      <c r="D1463" s="83"/>
      <c r="E1463" s="83"/>
    </row>
    <row r="1464" spans="1:5" ht="12.75">
      <c r="A1464" s="70"/>
      <c r="B1464" s="83"/>
      <c r="C1464" s="84"/>
      <c r="D1464" s="83"/>
      <c r="E1464" s="83"/>
    </row>
    <row r="1465" spans="1:5" ht="12.75">
      <c r="A1465" s="70"/>
      <c r="B1465" s="83"/>
      <c r="C1465" s="84"/>
      <c r="D1465" s="83"/>
      <c r="E1465" s="83"/>
    </row>
    <row r="1466" spans="1:5" ht="12.75">
      <c r="A1466" s="70"/>
      <c r="B1466" s="83"/>
      <c r="C1466" s="84"/>
      <c r="D1466" s="83"/>
      <c r="E1466" s="83"/>
    </row>
    <row r="1467" spans="1:5" ht="12.75">
      <c r="A1467" s="70"/>
      <c r="B1467" s="83"/>
      <c r="C1467" s="84"/>
      <c r="D1467" s="83"/>
      <c r="E1467" s="83"/>
    </row>
    <row r="1468" spans="1:5" ht="12.75">
      <c r="A1468" s="70"/>
      <c r="B1468" s="83"/>
      <c r="C1468" s="84"/>
      <c r="D1468" s="83"/>
      <c r="E1468" s="83"/>
    </row>
    <row r="1469" spans="1:5" ht="12.75">
      <c r="A1469" s="70"/>
      <c r="B1469" s="83"/>
      <c r="C1469" s="84"/>
      <c r="D1469" s="83"/>
      <c r="E1469" s="83"/>
    </row>
    <row r="1470" spans="1:5" ht="12.75">
      <c r="A1470" s="70"/>
      <c r="B1470" s="83"/>
      <c r="C1470" s="84"/>
      <c r="D1470" s="83"/>
      <c r="E1470" s="83"/>
    </row>
    <row r="1471" spans="1:5" ht="12.75">
      <c r="A1471" s="70"/>
      <c r="B1471" s="83"/>
      <c r="C1471" s="84"/>
      <c r="D1471" s="83"/>
      <c r="E1471" s="83"/>
    </row>
    <row r="1472" spans="1:5" ht="12.75">
      <c r="A1472" s="70"/>
      <c r="B1472" s="83"/>
      <c r="C1472" s="84"/>
      <c r="D1472" s="83"/>
      <c r="E1472" s="83"/>
    </row>
    <row r="1473" spans="1:5" ht="12.75">
      <c r="A1473" s="70"/>
      <c r="B1473" s="83"/>
      <c r="C1473" s="84"/>
      <c r="D1473" s="83"/>
      <c r="E1473" s="83"/>
    </row>
    <row r="1474" spans="1:5" ht="12.75">
      <c r="A1474" s="70"/>
      <c r="B1474" s="83"/>
      <c r="C1474" s="84"/>
      <c r="D1474" s="83"/>
      <c r="E1474" s="83"/>
    </row>
    <row r="1475" spans="1:5" ht="12.75">
      <c r="A1475" s="70"/>
      <c r="B1475" s="83"/>
      <c r="C1475" s="84"/>
      <c r="D1475" s="83"/>
      <c r="E1475" s="83"/>
    </row>
    <row r="1476" spans="1:5" ht="12.75">
      <c r="A1476" s="70"/>
      <c r="B1476" s="83"/>
      <c r="C1476" s="84"/>
      <c r="D1476" s="83"/>
      <c r="E1476" s="83"/>
    </row>
    <row r="1477" spans="1:5" ht="12.75">
      <c r="A1477" s="70"/>
      <c r="B1477" s="83"/>
      <c r="C1477" s="84"/>
      <c r="D1477" s="83"/>
      <c r="E1477" s="83"/>
    </row>
    <row r="1478" spans="1:5" ht="12.75">
      <c r="A1478" s="70"/>
      <c r="B1478" s="83"/>
      <c r="C1478" s="84"/>
      <c r="D1478" s="83"/>
      <c r="E1478" s="83"/>
    </row>
    <row r="1479" spans="1:5" ht="12.75">
      <c r="A1479" s="70"/>
      <c r="B1479" s="83"/>
      <c r="C1479" s="84"/>
      <c r="D1479" s="83"/>
      <c r="E1479" s="83"/>
    </row>
    <row r="1480" spans="1:5" ht="12.75">
      <c r="A1480" s="70"/>
      <c r="B1480" s="83"/>
      <c r="C1480" s="84"/>
      <c r="D1480" s="83"/>
      <c r="E1480" s="83"/>
    </row>
    <row r="1481" spans="1:5" ht="12.75">
      <c r="A1481" s="70"/>
      <c r="B1481" s="83"/>
      <c r="C1481" s="84"/>
      <c r="D1481" s="83"/>
      <c r="E1481" s="83"/>
    </row>
    <row r="1482" spans="1:5" ht="12.75">
      <c r="A1482" s="70"/>
      <c r="B1482" s="83"/>
      <c r="C1482" s="84"/>
      <c r="D1482" s="83"/>
      <c r="E1482" s="83"/>
    </row>
    <row r="1483" spans="1:5" ht="12.75">
      <c r="A1483" s="70"/>
      <c r="B1483" s="83"/>
      <c r="C1483" s="84"/>
      <c r="D1483" s="83"/>
      <c r="E1483" s="83"/>
    </row>
    <row r="1484" spans="1:5" ht="12.75">
      <c r="A1484" s="70"/>
      <c r="B1484" s="83"/>
      <c r="C1484" s="84"/>
      <c r="D1484" s="83"/>
      <c r="E1484" s="83"/>
    </row>
    <row r="1485" spans="1:5" ht="12.75">
      <c r="A1485" s="70"/>
      <c r="B1485" s="83"/>
      <c r="C1485" s="84"/>
      <c r="D1485" s="83"/>
      <c r="E1485" s="83"/>
    </row>
    <row r="1486" spans="1:5" ht="12.75">
      <c r="A1486" s="70"/>
      <c r="B1486" s="83"/>
      <c r="C1486" s="84"/>
      <c r="D1486" s="83"/>
      <c r="E1486" s="83"/>
    </row>
    <row r="1487" spans="1:5" ht="12.75">
      <c r="A1487" s="70"/>
      <c r="B1487" s="83"/>
      <c r="C1487" s="84"/>
      <c r="D1487" s="83"/>
      <c r="E1487" s="83"/>
    </row>
    <row r="1488" spans="1:5" ht="12.75">
      <c r="A1488" s="70"/>
      <c r="B1488" s="83"/>
      <c r="C1488" s="84"/>
      <c r="D1488" s="83"/>
      <c r="E1488" s="83"/>
    </row>
    <row r="1489" spans="1:5" ht="12.75">
      <c r="A1489" s="70"/>
      <c r="B1489" s="83"/>
      <c r="C1489" s="84"/>
      <c r="D1489" s="83"/>
      <c r="E1489" s="83"/>
    </row>
    <row r="1490" spans="1:5" ht="12.75">
      <c r="A1490" s="70"/>
      <c r="B1490" s="83"/>
      <c r="C1490" s="84"/>
      <c r="D1490" s="83"/>
      <c r="E1490" s="83"/>
    </row>
    <row r="1491" spans="1:5" ht="12.75">
      <c r="A1491" s="70"/>
      <c r="B1491" s="83"/>
      <c r="C1491" s="84"/>
      <c r="D1491" s="83"/>
      <c r="E1491" s="83"/>
    </row>
    <row r="1492" spans="1:5" ht="12.75">
      <c r="A1492" s="70"/>
      <c r="B1492" s="83"/>
      <c r="C1492" s="84"/>
      <c r="D1492" s="83"/>
      <c r="E1492" s="83"/>
    </row>
    <row r="1493" spans="1:5" ht="12.75">
      <c r="A1493" s="70"/>
      <c r="B1493" s="83"/>
      <c r="C1493" s="84"/>
      <c r="D1493" s="83"/>
      <c r="E1493" s="83"/>
    </row>
    <row r="1494" spans="1:5" ht="12.75">
      <c r="A1494" s="70"/>
      <c r="B1494" s="83"/>
      <c r="C1494" s="84"/>
      <c r="D1494" s="83"/>
      <c r="E1494" s="83"/>
    </row>
    <row r="1495" spans="1:5" ht="12.75">
      <c r="A1495" s="70"/>
      <c r="B1495" s="83"/>
      <c r="C1495" s="84"/>
      <c r="D1495" s="83"/>
      <c r="E1495" s="83"/>
    </row>
    <row r="1496" spans="1:5" ht="12.75">
      <c r="A1496" s="70"/>
      <c r="B1496" s="83"/>
      <c r="C1496" s="84"/>
      <c r="D1496" s="83"/>
      <c r="E1496" s="83"/>
    </row>
    <row r="1497" spans="1:5" ht="12.75">
      <c r="A1497" s="70"/>
      <c r="B1497" s="83"/>
      <c r="C1497" s="84"/>
      <c r="D1497" s="83"/>
      <c r="E1497" s="83"/>
    </row>
    <row r="1498" spans="1:5" ht="12.75">
      <c r="A1498" s="70"/>
      <c r="B1498" s="83"/>
      <c r="C1498" s="84"/>
      <c r="D1498" s="83"/>
      <c r="E1498" s="83"/>
    </row>
    <row r="1499" spans="1:5" ht="12.75">
      <c r="A1499" s="70"/>
      <c r="B1499" s="83"/>
      <c r="C1499" s="84"/>
      <c r="D1499" s="83"/>
      <c r="E1499" s="83"/>
    </row>
    <row r="1500" spans="1:5" ht="12.75">
      <c r="A1500" s="70"/>
      <c r="B1500" s="83"/>
      <c r="C1500" s="84"/>
      <c r="D1500" s="83"/>
      <c r="E1500" s="83"/>
    </row>
    <row r="1501" spans="1:5" ht="12.75">
      <c r="A1501" s="70"/>
      <c r="B1501" s="83"/>
      <c r="C1501" s="84"/>
      <c r="D1501" s="83"/>
      <c r="E1501" s="83"/>
    </row>
    <row r="1502" spans="1:5" ht="12.75">
      <c r="A1502" s="70"/>
      <c r="B1502" s="83"/>
      <c r="C1502" s="84"/>
      <c r="D1502" s="83"/>
      <c r="E1502" s="83"/>
    </row>
    <row r="1503" spans="1:5" ht="12.75">
      <c r="A1503" s="70"/>
      <c r="B1503" s="83"/>
      <c r="C1503" s="84"/>
      <c r="D1503" s="83"/>
      <c r="E1503" s="83"/>
    </row>
    <row r="1504" spans="1:5" ht="12.75">
      <c r="A1504" s="70"/>
      <c r="B1504" s="83"/>
      <c r="C1504" s="84"/>
      <c r="D1504" s="83"/>
      <c r="E1504" s="83"/>
    </row>
    <row r="1505" spans="1:5" ht="12.75">
      <c r="A1505" s="70"/>
      <c r="B1505" s="83"/>
      <c r="C1505" s="84"/>
      <c r="D1505" s="83"/>
      <c r="E1505" s="83"/>
    </row>
    <row r="1506" spans="1:5" ht="12.75">
      <c r="A1506" s="70"/>
      <c r="B1506" s="83"/>
      <c r="C1506" s="84"/>
      <c r="D1506" s="83"/>
      <c r="E1506" s="83"/>
    </row>
    <row r="1507" spans="1:5" ht="12.75">
      <c r="A1507" s="70"/>
      <c r="B1507" s="83"/>
      <c r="C1507" s="84"/>
      <c r="D1507" s="83"/>
      <c r="E1507" s="83"/>
    </row>
  </sheetData>
  <sheetProtection/>
  <mergeCells count="4">
    <mergeCell ref="J11:L11"/>
    <mergeCell ref="A33:N33"/>
    <mergeCell ref="A35:N35"/>
    <mergeCell ref="G1:H1"/>
  </mergeCells>
  <printOptions/>
  <pageMargins left="0.75" right="0.75" top="1" bottom="1" header="0.5" footer="0.5"/>
  <pageSetup fitToHeight="1" fitToWidth="1"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Microcosm,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BeckyC</dc:creator>
  <cp:keywords/>
  <dc:description/>
  <cp:lastModifiedBy>AShao</cp:lastModifiedBy>
  <cp:lastPrinted>2011-07-26T05:01:59Z</cp:lastPrinted>
  <dcterms:created xsi:type="dcterms:W3CDTF">2010-03-03T18:27:14Z</dcterms:created>
  <dcterms:modified xsi:type="dcterms:W3CDTF">2011-07-26T05:03:44Z</dcterms:modified>
  <cp:category/>
  <cp:version/>
  <cp:contentType/>
  <cp:contentStatus/>
</cp:coreProperties>
</file>